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N:\MMR\MHSA Reporting\MHSA Expenditure &amp; Revenue Reports\FY2122 ARER\"/>
    </mc:Choice>
  </mc:AlternateContent>
  <xr:revisionPtr revIDLastSave="0" documentId="13_ncr:1_{4D0630B5-B16A-43E5-84F9-3670C731F440}" xr6:coauthVersionLast="47" xr6:coauthVersionMax="47" xr10:uidLastSave="{00000000-0000-0000-0000-000000000000}"/>
  <bookViews>
    <workbookView xWindow="-120" yWindow="-120" windowWidth="29040" windowHeight="15840" xr2:uid="{0C7E8741-EAD2-458A-904B-10A6A5C3CA70}"/>
  </bookViews>
  <sheets>
    <sheet name="FINAL REV ARER Budcomp 01.30.23" sheetId="1" r:id="rId1"/>
  </sheets>
  <externalReferences>
    <externalReference r:id="rId2"/>
  </externalReferences>
  <definedNames>
    <definedName name="_xlnm._FilterDatabase" localSheetId="0" hidden="1">'FINAL REV ARER Budcomp 01.30.23'!$A$14:$X$306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05" i="1" l="1"/>
  <c r="H305" i="1"/>
  <c r="I306" i="1" s="1"/>
  <c r="Y304" i="1"/>
  <c r="R304" i="1"/>
  <c r="M304" i="1"/>
  <c r="Y303" i="1"/>
  <c r="R303" i="1"/>
  <c r="M303" i="1"/>
  <c r="Y302" i="1"/>
  <c r="R302" i="1"/>
  <c r="M302" i="1"/>
  <c r="Y301" i="1"/>
  <c r="Z301" i="1" s="1"/>
  <c r="R301" i="1"/>
  <c r="M301" i="1"/>
  <c r="Y300" i="1"/>
  <c r="R300" i="1"/>
  <c r="M300" i="1"/>
  <c r="Y299" i="1"/>
  <c r="Z299" i="1" s="1"/>
  <c r="R299" i="1"/>
  <c r="M299" i="1"/>
  <c r="Y298" i="1"/>
  <c r="Z298" i="1" s="1"/>
  <c r="R298" i="1"/>
  <c r="M298" i="1"/>
  <c r="Y297" i="1"/>
  <c r="Z297" i="1" s="1"/>
  <c r="R297" i="1"/>
  <c r="M297" i="1"/>
  <c r="Y296" i="1"/>
  <c r="R296" i="1"/>
  <c r="M296" i="1"/>
  <c r="Y295" i="1"/>
  <c r="Z295" i="1" s="1"/>
  <c r="R295" i="1"/>
  <c r="M295" i="1"/>
  <c r="Y294" i="1"/>
  <c r="R294" i="1"/>
  <c r="M294" i="1"/>
  <c r="J294" i="1"/>
  <c r="Y293" i="1"/>
  <c r="Z293" i="1" s="1"/>
  <c r="R293" i="1"/>
  <c r="M293" i="1"/>
  <c r="J293" i="1"/>
  <c r="Y292" i="1"/>
  <c r="R292" i="1"/>
  <c r="M292" i="1"/>
  <c r="J292" i="1"/>
  <c r="Y291" i="1"/>
  <c r="R291" i="1"/>
  <c r="M291" i="1"/>
  <c r="J291" i="1"/>
  <c r="Y290" i="1"/>
  <c r="Z290" i="1" s="1"/>
  <c r="R290" i="1"/>
  <c r="M290" i="1"/>
  <c r="J290" i="1"/>
  <c r="Y289" i="1"/>
  <c r="R289" i="1"/>
  <c r="M289" i="1"/>
  <c r="J289" i="1"/>
  <c r="Z288" i="1"/>
  <c r="Y288" i="1"/>
  <c r="R288" i="1"/>
  <c r="M288" i="1"/>
  <c r="J288" i="1"/>
  <c r="Y287" i="1"/>
  <c r="R287" i="1"/>
  <c r="M287" i="1"/>
  <c r="J287" i="1"/>
  <c r="Y286" i="1"/>
  <c r="Z286" i="1" s="1"/>
  <c r="R286" i="1"/>
  <c r="M286" i="1"/>
  <c r="J286" i="1"/>
  <c r="Y285" i="1"/>
  <c r="Z285" i="1" s="1"/>
  <c r="R285" i="1"/>
  <c r="M285" i="1"/>
  <c r="J285" i="1"/>
  <c r="Y284" i="1"/>
  <c r="R284" i="1"/>
  <c r="M284" i="1"/>
  <c r="J284" i="1"/>
  <c r="Y283" i="1"/>
  <c r="R283" i="1"/>
  <c r="M283" i="1"/>
  <c r="J283" i="1"/>
  <c r="Y282" i="1"/>
  <c r="Z282" i="1" s="1"/>
  <c r="R282" i="1"/>
  <c r="M282" i="1"/>
  <c r="J282" i="1"/>
  <c r="Y281" i="1"/>
  <c r="R281" i="1"/>
  <c r="M281" i="1"/>
  <c r="J281" i="1"/>
  <c r="Y280" i="1"/>
  <c r="R280" i="1"/>
  <c r="M280" i="1"/>
  <c r="J280" i="1"/>
  <c r="Y279" i="1"/>
  <c r="R279" i="1"/>
  <c r="M279" i="1"/>
  <c r="J279" i="1"/>
  <c r="Y278" i="1"/>
  <c r="R278" i="1"/>
  <c r="M278" i="1"/>
  <c r="J278" i="1"/>
  <c r="Y277" i="1"/>
  <c r="Z277" i="1" s="1"/>
  <c r="R277" i="1"/>
  <c r="M277" i="1"/>
  <c r="J277" i="1"/>
  <c r="Y276" i="1"/>
  <c r="R276" i="1"/>
  <c r="M276" i="1"/>
  <c r="J276" i="1"/>
  <c r="Y275" i="1"/>
  <c r="Z275" i="1" s="1"/>
  <c r="R275" i="1"/>
  <c r="M275" i="1"/>
  <c r="J275" i="1"/>
  <c r="Y274" i="1"/>
  <c r="Z274" i="1" s="1"/>
  <c r="R274" i="1"/>
  <c r="M274" i="1"/>
  <c r="J274" i="1"/>
  <c r="Y273" i="1"/>
  <c r="Z273" i="1" s="1"/>
  <c r="R273" i="1"/>
  <c r="M273" i="1"/>
  <c r="J273" i="1"/>
  <c r="Y272" i="1"/>
  <c r="R272" i="1"/>
  <c r="M272" i="1"/>
  <c r="J272" i="1"/>
  <c r="Y271" i="1"/>
  <c r="Z271" i="1" s="1"/>
  <c r="R271" i="1"/>
  <c r="M271" i="1"/>
  <c r="J271" i="1"/>
  <c r="Y270" i="1"/>
  <c r="R270" i="1"/>
  <c r="M270" i="1"/>
  <c r="J270" i="1"/>
  <c r="Z269" i="1"/>
  <c r="Y269" i="1"/>
  <c r="R269" i="1"/>
  <c r="M269" i="1"/>
  <c r="J269" i="1"/>
  <c r="Y268" i="1"/>
  <c r="R268" i="1"/>
  <c r="M268" i="1"/>
  <c r="J268" i="1"/>
  <c r="Y267" i="1"/>
  <c r="R267" i="1"/>
  <c r="Z267" i="1" s="1"/>
  <c r="M267" i="1"/>
  <c r="J267" i="1"/>
  <c r="Y266" i="1"/>
  <c r="R266" i="1"/>
  <c r="M266" i="1"/>
  <c r="J266" i="1"/>
  <c r="Y265" i="1"/>
  <c r="R265" i="1"/>
  <c r="M265" i="1"/>
  <c r="J265" i="1"/>
  <c r="Y264" i="1"/>
  <c r="R264" i="1"/>
  <c r="M264" i="1"/>
  <c r="J264" i="1"/>
  <c r="Y263" i="1"/>
  <c r="R263" i="1"/>
  <c r="M263" i="1"/>
  <c r="J263" i="1"/>
  <c r="Y262" i="1"/>
  <c r="R262" i="1"/>
  <c r="M262" i="1"/>
  <c r="J262" i="1"/>
  <c r="Y261" i="1"/>
  <c r="Z261" i="1" s="1"/>
  <c r="R261" i="1"/>
  <c r="M261" i="1"/>
  <c r="J261" i="1"/>
  <c r="Y260" i="1"/>
  <c r="R260" i="1"/>
  <c r="M260" i="1"/>
  <c r="J260" i="1"/>
  <c r="Y259" i="1"/>
  <c r="W259" i="1"/>
  <c r="R259" i="1"/>
  <c r="Z259" i="1" s="1"/>
  <c r="K259" i="1"/>
  <c r="M259" i="1" s="1"/>
  <c r="J259" i="1"/>
  <c r="Y258" i="1"/>
  <c r="Z258" i="1" s="1"/>
  <c r="R258" i="1"/>
  <c r="M258" i="1"/>
  <c r="J258" i="1"/>
  <c r="Y257" i="1"/>
  <c r="R257" i="1"/>
  <c r="M257" i="1"/>
  <c r="J257" i="1"/>
  <c r="Y256" i="1"/>
  <c r="Z256" i="1" s="1"/>
  <c r="R256" i="1"/>
  <c r="M256" i="1"/>
  <c r="J256" i="1"/>
  <c r="Y255" i="1"/>
  <c r="R255" i="1"/>
  <c r="Z255" i="1" s="1"/>
  <c r="M255" i="1"/>
  <c r="J255" i="1"/>
  <c r="Y254" i="1"/>
  <c r="Z254" i="1" s="1"/>
  <c r="R254" i="1"/>
  <c r="M254" i="1"/>
  <c r="J254" i="1"/>
  <c r="Y253" i="1"/>
  <c r="R253" i="1"/>
  <c r="Z253" i="1" s="1"/>
  <c r="M253" i="1"/>
  <c r="J253" i="1"/>
  <c r="Z252" i="1"/>
  <c r="Y252" i="1"/>
  <c r="R252" i="1"/>
  <c r="M252" i="1"/>
  <c r="J252" i="1"/>
  <c r="Y251" i="1"/>
  <c r="R251" i="1"/>
  <c r="M251" i="1"/>
  <c r="J251" i="1"/>
  <c r="Y250" i="1"/>
  <c r="R250" i="1"/>
  <c r="M250" i="1"/>
  <c r="Y249" i="1"/>
  <c r="R249" i="1"/>
  <c r="M249" i="1"/>
  <c r="Y248" i="1"/>
  <c r="Z248" i="1" s="1"/>
  <c r="R248" i="1"/>
  <c r="M248" i="1"/>
  <c r="Y247" i="1"/>
  <c r="R247" i="1"/>
  <c r="M247" i="1"/>
  <c r="Y246" i="1"/>
  <c r="R246" i="1"/>
  <c r="M246" i="1"/>
  <c r="Y245" i="1"/>
  <c r="Z245" i="1" s="1"/>
  <c r="R245" i="1"/>
  <c r="M245" i="1"/>
  <c r="Y244" i="1"/>
  <c r="R244" i="1"/>
  <c r="M244" i="1"/>
  <c r="Y243" i="1"/>
  <c r="R243" i="1"/>
  <c r="M243" i="1"/>
  <c r="Y242" i="1"/>
  <c r="R242" i="1"/>
  <c r="M242" i="1"/>
  <c r="Y241" i="1"/>
  <c r="R241" i="1"/>
  <c r="M241" i="1"/>
  <c r="Y240" i="1"/>
  <c r="Z240" i="1" s="1"/>
  <c r="R240" i="1"/>
  <c r="M240" i="1"/>
  <c r="Y239" i="1"/>
  <c r="R239" i="1"/>
  <c r="M239" i="1"/>
  <c r="Y238" i="1"/>
  <c r="R238" i="1"/>
  <c r="M238" i="1"/>
  <c r="Y237" i="1"/>
  <c r="Z237" i="1" s="1"/>
  <c r="R237" i="1"/>
  <c r="M237" i="1"/>
  <c r="Y236" i="1"/>
  <c r="R236" i="1"/>
  <c r="M236" i="1"/>
  <c r="Y235" i="1"/>
  <c r="R235" i="1"/>
  <c r="M235" i="1"/>
  <c r="Y234" i="1"/>
  <c r="Z234" i="1" s="1"/>
  <c r="R234" i="1"/>
  <c r="M234" i="1"/>
  <c r="Y233" i="1"/>
  <c r="R233" i="1"/>
  <c r="M233" i="1"/>
  <c r="Y232" i="1"/>
  <c r="Z232" i="1" s="1"/>
  <c r="R232" i="1"/>
  <c r="M232" i="1"/>
  <c r="Y231" i="1"/>
  <c r="R231" i="1"/>
  <c r="M231" i="1"/>
  <c r="Y230" i="1"/>
  <c r="R230" i="1"/>
  <c r="M230" i="1"/>
  <c r="Y229" i="1"/>
  <c r="Z229" i="1" s="1"/>
  <c r="R229" i="1"/>
  <c r="M229" i="1"/>
  <c r="Y228" i="1"/>
  <c r="R228" i="1"/>
  <c r="M228" i="1"/>
  <c r="Y227" i="1"/>
  <c r="R227" i="1"/>
  <c r="M227" i="1"/>
  <c r="Y226" i="1"/>
  <c r="Z226" i="1" s="1"/>
  <c r="R226" i="1"/>
  <c r="M226" i="1"/>
  <c r="Y225" i="1"/>
  <c r="R225" i="1"/>
  <c r="M225" i="1"/>
  <c r="Y224" i="1"/>
  <c r="Z224" i="1" s="1"/>
  <c r="R224" i="1"/>
  <c r="M224" i="1"/>
  <c r="Y223" i="1"/>
  <c r="R223" i="1"/>
  <c r="M223" i="1"/>
  <c r="Y222" i="1"/>
  <c r="R222" i="1"/>
  <c r="M222" i="1"/>
  <c r="Y221" i="1"/>
  <c r="Z221" i="1" s="1"/>
  <c r="R221" i="1"/>
  <c r="M221" i="1"/>
  <c r="Y220" i="1"/>
  <c r="R220" i="1"/>
  <c r="M220" i="1"/>
  <c r="Y219" i="1"/>
  <c r="R219" i="1"/>
  <c r="M219" i="1"/>
  <c r="Y218" i="1"/>
  <c r="Z218" i="1" s="1"/>
  <c r="R218" i="1"/>
  <c r="M218" i="1"/>
  <c r="Y217" i="1"/>
  <c r="R217" i="1"/>
  <c r="M217" i="1"/>
  <c r="Y216" i="1"/>
  <c r="Z216" i="1" s="1"/>
  <c r="R216" i="1"/>
  <c r="M216" i="1"/>
  <c r="Y215" i="1"/>
  <c r="R215" i="1"/>
  <c r="M215" i="1"/>
  <c r="Y214" i="1"/>
  <c r="R214" i="1"/>
  <c r="M214" i="1"/>
  <c r="Y213" i="1"/>
  <c r="Z213" i="1" s="1"/>
  <c r="R213" i="1"/>
  <c r="M213" i="1"/>
  <c r="Y212" i="1"/>
  <c r="R212" i="1"/>
  <c r="M212" i="1"/>
  <c r="Y211" i="1"/>
  <c r="R211" i="1"/>
  <c r="M211" i="1"/>
  <c r="Y210" i="1"/>
  <c r="Z210" i="1" s="1"/>
  <c r="R210" i="1"/>
  <c r="M210" i="1"/>
  <c r="Y209" i="1"/>
  <c r="R209" i="1"/>
  <c r="M209" i="1"/>
  <c r="Y208" i="1"/>
  <c r="Z208" i="1" s="1"/>
  <c r="R208" i="1"/>
  <c r="M208" i="1"/>
  <c r="Y207" i="1"/>
  <c r="R207" i="1"/>
  <c r="M207" i="1"/>
  <c r="Y206" i="1"/>
  <c r="R206" i="1"/>
  <c r="M206" i="1"/>
  <c r="Y205" i="1"/>
  <c r="Z205" i="1" s="1"/>
  <c r="R205" i="1"/>
  <c r="M205" i="1"/>
  <c r="Y204" i="1"/>
  <c r="R204" i="1"/>
  <c r="M204" i="1"/>
  <c r="Y203" i="1"/>
  <c r="R203" i="1"/>
  <c r="M203" i="1"/>
  <c r="Y202" i="1"/>
  <c r="Z202" i="1" s="1"/>
  <c r="R202" i="1"/>
  <c r="M202" i="1"/>
  <c r="Y201" i="1"/>
  <c r="R201" i="1"/>
  <c r="M201" i="1"/>
  <c r="Y200" i="1"/>
  <c r="Z200" i="1" s="1"/>
  <c r="R200" i="1"/>
  <c r="M200" i="1"/>
  <c r="Y199" i="1"/>
  <c r="R199" i="1"/>
  <c r="M199" i="1"/>
  <c r="Y198" i="1"/>
  <c r="R198" i="1"/>
  <c r="M198" i="1"/>
  <c r="Y197" i="1"/>
  <c r="R197" i="1"/>
  <c r="M197" i="1"/>
  <c r="Y196" i="1"/>
  <c r="R196" i="1"/>
  <c r="M196" i="1"/>
  <c r="Y195" i="1"/>
  <c r="R195" i="1"/>
  <c r="M195" i="1"/>
  <c r="Y194" i="1"/>
  <c r="R194" i="1"/>
  <c r="M194" i="1"/>
  <c r="Y193" i="1"/>
  <c r="R193" i="1"/>
  <c r="M193" i="1"/>
  <c r="Y192" i="1"/>
  <c r="Z192" i="1" s="1"/>
  <c r="R192" i="1"/>
  <c r="M192" i="1"/>
  <c r="Y191" i="1"/>
  <c r="R191" i="1"/>
  <c r="M191" i="1"/>
  <c r="Y190" i="1"/>
  <c r="R190" i="1"/>
  <c r="M190" i="1"/>
  <c r="Y189" i="1"/>
  <c r="R189" i="1"/>
  <c r="M189" i="1"/>
  <c r="Y188" i="1"/>
  <c r="R188" i="1"/>
  <c r="M188" i="1"/>
  <c r="Y187" i="1"/>
  <c r="R187" i="1"/>
  <c r="M187" i="1"/>
  <c r="Y186" i="1"/>
  <c r="R186" i="1"/>
  <c r="M186" i="1"/>
  <c r="Y185" i="1"/>
  <c r="R185" i="1"/>
  <c r="M185" i="1"/>
  <c r="Y184" i="1"/>
  <c r="Z184" i="1" s="1"/>
  <c r="R184" i="1"/>
  <c r="M184" i="1"/>
  <c r="Y183" i="1"/>
  <c r="R183" i="1"/>
  <c r="M183" i="1"/>
  <c r="Y182" i="1"/>
  <c r="R182" i="1"/>
  <c r="M182" i="1"/>
  <c r="Y181" i="1"/>
  <c r="R181" i="1"/>
  <c r="M181" i="1"/>
  <c r="Y180" i="1"/>
  <c r="R180" i="1"/>
  <c r="M180" i="1"/>
  <c r="Y179" i="1"/>
  <c r="R179" i="1"/>
  <c r="M179" i="1"/>
  <c r="Y178" i="1"/>
  <c r="R178" i="1"/>
  <c r="M178" i="1"/>
  <c r="Y177" i="1"/>
  <c r="R177" i="1"/>
  <c r="M177" i="1"/>
  <c r="Y176" i="1"/>
  <c r="Z176" i="1" s="1"/>
  <c r="R176" i="1"/>
  <c r="M176" i="1"/>
  <c r="Y175" i="1"/>
  <c r="R175" i="1"/>
  <c r="M175" i="1"/>
  <c r="Y174" i="1"/>
  <c r="Z174" i="1" s="1"/>
  <c r="R174" i="1"/>
  <c r="M174" i="1"/>
  <c r="Y173" i="1"/>
  <c r="R173" i="1"/>
  <c r="M173" i="1"/>
  <c r="Y172" i="1"/>
  <c r="R172" i="1"/>
  <c r="M172" i="1"/>
  <c r="Y171" i="1"/>
  <c r="R171" i="1"/>
  <c r="M171" i="1"/>
  <c r="Y170" i="1"/>
  <c r="Z170" i="1" s="1"/>
  <c r="R170" i="1"/>
  <c r="M170" i="1"/>
  <c r="Y169" i="1"/>
  <c r="R169" i="1"/>
  <c r="M169" i="1"/>
  <c r="Y168" i="1"/>
  <c r="Z168" i="1" s="1"/>
  <c r="R168" i="1"/>
  <c r="M168" i="1"/>
  <c r="Y167" i="1"/>
  <c r="R167" i="1"/>
  <c r="M167" i="1"/>
  <c r="Y166" i="1"/>
  <c r="R166" i="1"/>
  <c r="M166" i="1"/>
  <c r="Y165" i="1"/>
  <c r="R165" i="1"/>
  <c r="M165" i="1"/>
  <c r="Y164" i="1"/>
  <c r="Z164" i="1" s="1"/>
  <c r="R164" i="1"/>
  <c r="M164" i="1"/>
  <c r="Y163" i="1"/>
  <c r="R163" i="1"/>
  <c r="M163" i="1"/>
  <c r="Y162" i="1"/>
  <c r="R162" i="1"/>
  <c r="M162" i="1"/>
  <c r="Y161" i="1"/>
  <c r="R161" i="1"/>
  <c r="M161" i="1"/>
  <c r="Y160" i="1"/>
  <c r="Z160" i="1" s="1"/>
  <c r="R160" i="1"/>
  <c r="M160" i="1"/>
  <c r="Y159" i="1"/>
  <c r="R159" i="1"/>
  <c r="L159" i="1"/>
  <c r="K159" i="1"/>
  <c r="M159" i="1" s="1"/>
  <c r="Y158" i="1"/>
  <c r="R158" i="1"/>
  <c r="M158" i="1"/>
  <c r="Y157" i="1"/>
  <c r="Z157" i="1" s="1"/>
  <c r="R157" i="1"/>
  <c r="M157" i="1"/>
  <c r="Y156" i="1"/>
  <c r="R156" i="1"/>
  <c r="M156" i="1"/>
  <c r="Y155" i="1"/>
  <c r="Z155" i="1" s="1"/>
  <c r="R155" i="1"/>
  <c r="M155" i="1"/>
  <c r="Y154" i="1"/>
  <c r="R154" i="1"/>
  <c r="M154" i="1"/>
  <c r="Z153" i="1"/>
  <c r="Y153" i="1"/>
  <c r="R153" i="1"/>
  <c r="M153" i="1"/>
  <c r="Y152" i="1"/>
  <c r="R152" i="1"/>
  <c r="M152" i="1"/>
  <c r="Y151" i="1"/>
  <c r="Z151" i="1" s="1"/>
  <c r="R151" i="1"/>
  <c r="M151" i="1"/>
  <c r="Y150" i="1"/>
  <c r="R150" i="1"/>
  <c r="M150" i="1"/>
  <c r="Y149" i="1"/>
  <c r="R149" i="1"/>
  <c r="M149" i="1"/>
  <c r="Y148" i="1"/>
  <c r="R148" i="1"/>
  <c r="M148" i="1"/>
  <c r="Y147" i="1"/>
  <c r="Z147" i="1" s="1"/>
  <c r="R147" i="1"/>
  <c r="M147" i="1"/>
  <c r="Y146" i="1"/>
  <c r="R146" i="1"/>
  <c r="M146" i="1"/>
  <c r="Y145" i="1"/>
  <c r="Z145" i="1" s="1"/>
  <c r="R145" i="1"/>
  <c r="M145" i="1"/>
  <c r="Y144" i="1"/>
  <c r="Z144" i="1" s="1"/>
  <c r="R144" i="1"/>
  <c r="M144" i="1"/>
  <c r="Y143" i="1"/>
  <c r="R143" i="1"/>
  <c r="M143" i="1"/>
  <c r="Y142" i="1"/>
  <c r="R142" i="1"/>
  <c r="M142" i="1"/>
  <c r="Y141" i="1"/>
  <c r="Z141" i="1" s="1"/>
  <c r="R141" i="1"/>
  <c r="M141" i="1"/>
  <c r="Y140" i="1"/>
  <c r="R140" i="1"/>
  <c r="M140" i="1"/>
  <c r="Y139" i="1"/>
  <c r="Z139" i="1" s="1"/>
  <c r="R139" i="1"/>
  <c r="M139" i="1"/>
  <c r="Y138" i="1"/>
  <c r="R138" i="1"/>
  <c r="M138" i="1"/>
  <c r="Y137" i="1"/>
  <c r="R137" i="1"/>
  <c r="M137" i="1"/>
  <c r="Y136" i="1"/>
  <c r="R136" i="1"/>
  <c r="M136" i="1"/>
  <c r="Y135" i="1"/>
  <c r="R135" i="1"/>
  <c r="M135" i="1"/>
  <c r="Y134" i="1"/>
  <c r="Z134" i="1" s="1"/>
  <c r="R134" i="1"/>
  <c r="L134" i="1"/>
  <c r="K134" i="1"/>
  <c r="M134" i="1" s="1"/>
  <c r="Y133" i="1"/>
  <c r="R133" i="1"/>
  <c r="M133" i="1"/>
  <c r="Y132" i="1"/>
  <c r="R132" i="1"/>
  <c r="M132" i="1"/>
  <c r="Y131" i="1"/>
  <c r="R131" i="1"/>
  <c r="M131" i="1"/>
  <c r="Y130" i="1"/>
  <c r="R130" i="1"/>
  <c r="M130" i="1"/>
  <c r="Y129" i="1"/>
  <c r="Z129" i="1" s="1"/>
  <c r="R129" i="1"/>
  <c r="M129" i="1"/>
  <c r="Y128" i="1"/>
  <c r="R128" i="1"/>
  <c r="M128" i="1"/>
  <c r="Y127" i="1"/>
  <c r="R127" i="1"/>
  <c r="M127" i="1"/>
  <c r="Y126" i="1"/>
  <c r="R126" i="1"/>
  <c r="M126" i="1"/>
  <c r="Y125" i="1"/>
  <c r="R125" i="1"/>
  <c r="M125" i="1"/>
  <c r="Y124" i="1"/>
  <c r="R124" i="1"/>
  <c r="M124" i="1"/>
  <c r="Y123" i="1"/>
  <c r="R123" i="1"/>
  <c r="M123" i="1"/>
  <c r="Y122" i="1"/>
  <c r="R122" i="1"/>
  <c r="M122" i="1"/>
  <c r="Y121" i="1"/>
  <c r="Z121" i="1" s="1"/>
  <c r="R121" i="1"/>
  <c r="Y120" i="1"/>
  <c r="R120" i="1"/>
  <c r="Z120" i="1" s="1"/>
  <c r="M120" i="1"/>
  <c r="Y119" i="1"/>
  <c r="Z119" i="1" s="1"/>
  <c r="R119" i="1"/>
  <c r="M119" i="1"/>
  <c r="Y118" i="1"/>
  <c r="R118" i="1"/>
  <c r="Z118" i="1" s="1"/>
  <c r="M118" i="1"/>
  <c r="Y117" i="1"/>
  <c r="Z117" i="1" s="1"/>
  <c r="R117" i="1"/>
  <c r="M117" i="1"/>
  <c r="Y116" i="1"/>
  <c r="R116" i="1"/>
  <c r="M116" i="1"/>
  <c r="Y115" i="1"/>
  <c r="R115" i="1"/>
  <c r="Z115" i="1" s="1"/>
  <c r="M115" i="1"/>
  <c r="Y114" i="1"/>
  <c r="R114" i="1"/>
  <c r="Z114" i="1" s="1"/>
  <c r="M114" i="1"/>
  <c r="Y113" i="1"/>
  <c r="R113" i="1"/>
  <c r="Z113" i="1" s="1"/>
  <c r="M113" i="1"/>
  <c r="Y112" i="1"/>
  <c r="R112" i="1"/>
  <c r="Z112" i="1" s="1"/>
  <c r="M112" i="1"/>
  <c r="Y111" i="1"/>
  <c r="R111" i="1"/>
  <c r="M111" i="1"/>
  <c r="Y110" i="1"/>
  <c r="R110" i="1"/>
  <c r="Z110" i="1" s="1"/>
  <c r="M110" i="1"/>
  <c r="Y109" i="1"/>
  <c r="R109" i="1"/>
  <c r="Z109" i="1" s="1"/>
  <c r="M109" i="1"/>
  <c r="Y108" i="1"/>
  <c r="R108" i="1"/>
  <c r="M108" i="1"/>
  <c r="Y107" i="1"/>
  <c r="Z107" i="1" s="1"/>
  <c r="R107" i="1"/>
  <c r="M107" i="1"/>
  <c r="Y106" i="1"/>
  <c r="R106" i="1"/>
  <c r="Z106" i="1" s="1"/>
  <c r="M106" i="1"/>
  <c r="Y105" i="1"/>
  <c r="Z105" i="1" s="1"/>
  <c r="R105" i="1"/>
  <c r="M105" i="1"/>
  <c r="Y104" i="1"/>
  <c r="R104" i="1"/>
  <c r="Z104" i="1" s="1"/>
  <c r="M104" i="1"/>
  <c r="Y103" i="1"/>
  <c r="Z103" i="1" s="1"/>
  <c r="R103" i="1"/>
  <c r="M103" i="1"/>
  <c r="Y102" i="1"/>
  <c r="R102" i="1"/>
  <c r="Z102" i="1" s="1"/>
  <c r="M102" i="1"/>
  <c r="Z101" i="1"/>
  <c r="Y101" i="1"/>
  <c r="R101" i="1"/>
  <c r="M101" i="1"/>
  <c r="Y100" i="1"/>
  <c r="R100" i="1"/>
  <c r="M100" i="1"/>
  <c r="Y99" i="1"/>
  <c r="R99" i="1"/>
  <c r="Q99" i="1"/>
  <c r="M99" i="1"/>
  <c r="Y98" i="1"/>
  <c r="R98" i="1"/>
  <c r="O98" i="1"/>
  <c r="M98" i="1"/>
  <c r="Y97" i="1"/>
  <c r="Z97" i="1" s="1"/>
  <c r="R97" i="1"/>
  <c r="M97" i="1"/>
  <c r="Y96" i="1"/>
  <c r="R96" i="1"/>
  <c r="M96" i="1"/>
  <c r="Y95" i="1"/>
  <c r="R95" i="1"/>
  <c r="M95" i="1"/>
  <c r="Y94" i="1"/>
  <c r="R94" i="1"/>
  <c r="M94" i="1"/>
  <c r="Y93" i="1"/>
  <c r="R93" i="1"/>
  <c r="M93" i="1"/>
  <c r="Y92" i="1"/>
  <c r="R92" i="1"/>
  <c r="M92" i="1"/>
  <c r="Y91" i="1"/>
  <c r="Z91" i="1" s="1"/>
  <c r="R91" i="1"/>
  <c r="M91" i="1"/>
  <c r="Y90" i="1"/>
  <c r="Z90" i="1" s="1"/>
  <c r="R90" i="1"/>
  <c r="M90" i="1"/>
  <c r="Y89" i="1"/>
  <c r="Z89" i="1" s="1"/>
  <c r="R89" i="1"/>
  <c r="M89" i="1"/>
  <c r="Y88" i="1"/>
  <c r="R88" i="1"/>
  <c r="M88" i="1"/>
  <c r="Y87" i="1"/>
  <c r="Z87" i="1" s="1"/>
  <c r="R87" i="1"/>
  <c r="M87" i="1"/>
  <c r="Y86" i="1"/>
  <c r="R86" i="1"/>
  <c r="M86" i="1"/>
  <c r="Y85" i="1"/>
  <c r="Z85" i="1" s="1"/>
  <c r="R85" i="1"/>
  <c r="M85" i="1"/>
  <c r="Y84" i="1"/>
  <c r="R84" i="1"/>
  <c r="M84" i="1"/>
  <c r="Z83" i="1"/>
  <c r="Y83" i="1"/>
  <c r="R83" i="1"/>
  <c r="M83" i="1"/>
  <c r="Y82" i="1"/>
  <c r="R82" i="1"/>
  <c r="M82" i="1"/>
  <c r="Y81" i="1"/>
  <c r="Z81" i="1" s="1"/>
  <c r="R81" i="1"/>
  <c r="M81" i="1"/>
  <c r="Y80" i="1"/>
  <c r="R80" i="1"/>
  <c r="M80" i="1"/>
  <c r="Y79" i="1"/>
  <c r="R79" i="1"/>
  <c r="M79" i="1"/>
  <c r="Y78" i="1"/>
  <c r="R78" i="1"/>
  <c r="M78" i="1"/>
  <c r="Y77" i="1"/>
  <c r="R77" i="1"/>
  <c r="M77" i="1"/>
  <c r="Y76" i="1"/>
  <c r="R76" i="1"/>
  <c r="M76" i="1"/>
  <c r="Y75" i="1"/>
  <c r="Z75" i="1" s="1"/>
  <c r="R75" i="1"/>
  <c r="M75" i="1"/>
  <c r="Y74" i="1"/>
  <c r="Z74" i="1" s="1"/>
  <c r="R74" i="1"/>
  <c r="M74" i="1"/>
  <c r="Y73" i="1"/>
  <c r="Z73" i="1" s="1"/>
  <c r="R73" i="1"/>
  <c r="M73" i="1"/>
  <c r="Y72" i="1"/>
  <c r="R72" i="1"/>
  <c r="M72" i="1"/>
  <c r="Y71" i="1"/>
  <c r="Z71" i="1" s="1"/>
  <c r="R71" i="1"/>
  <c r="M71" i="1"/>
  <c r="Y70" i="1"/>
  <c r="R70" i="1"/>
  <c r="M70" i="1"/>
  <c r="L70" i="1"/>
  <c r="K70" i="1"/>
  <c r="Y69" i="1"/>
  <c r="R69" i="1"/>
  <c r="L69" i="1"/>
  <c r="K69" i="1"/>
  <c r="M69" i="1" s="1"/>
  <c r="Y68" i="1"/>
  <c r="Z68" i="1" s="1"/>
  <c r="T68" i="1"/>
  <c r="R68" i="1"/>
  <c r="Q68" i="1"/>
  <c r="O68" i="1"/>
  <c r="N68" i="1"/>
  <c r="K68" i="1"/>
  <c r="M68" i="1" s="1"/>
  <c r="Y67" i="1"/>
  <c r="R67" i="1"/>
  <c r="Q67" i="1"/>
  <c r="N67" i="1"/>
  <c r="K67" i="1"/>
  <c r="M67" i="1" s="1"/>
  <c r="Y66" i="1"/>
  <c r="Z66" i="1" s="1"/>
  <c r="R66" i="1"/>
  <c r="M66" i="1"/>
  <c r="Y65" i="1"/>
  <c r="R65" i="1"/>
  <c r="M65" i="1"/>
  <c r="Y64" i="1"/>
  <c r="Z64" i="1" s="1"/>
  <c r="R64" i="1"/>
  <c r="M64" i="1"/>
  <c r="Y63" i="1"/>
  <c r="Z63" i="1" s="1"/>
  <c r="R63" i="1"/>
  <c r="M63" i="1"/>
  <c r="Y62" i="1"/>
  <c r="Z62" i="1" s="1"/>
  <c r="R62" i="1"/>
  <c r="Q62" i="1"/>
  <c r="O62" i="1"/>
  <c r="N62" i="1"/>
  <c r="K62" i="1"/>
  <c r="M62" i="1" s="1"/>
  <c r="Y61" i="1"/>
  <c r="Z61" i="1" s="1"/>
  <c r="R61" i="1"/>
  <c r="M61" i="1"/>
  <c r="Y60" i="1"/>
  <c r="R60" i="1"/>
  <c r="M60" i="1"/>
  <c r="Z59" i="1"/>
  <c r="Y59" i="1"/>
  <c r="R59" i="1"/>
  <c r="M59" i="1"/>
  <c r="Y58" i="1"/>
  <c r="R58" i="1"/>
  <c r="M58" i="1"/>
  <c r="Y57" i="1"/>
  <c r="Z57" i="1" s="1"/>
  <c r="R57" i="1"/>
  <c r="M57" i="1"/>
  <c r="Y56" i="1"/>
  <c r="R56" i="1"/>
  <c r="M56" i="1"/>
  <c r="Y55" i="1"/>
  <c r="R55" i="1"/>
  <c r="M55" i="1"/>
  <c r="Y54" i="1"/>
  <c r="R54" i="1"/>
  <c r="M54" i="1"/>
  <c r="Y53" i="1"/>
  <c r="Z53" i="1" s="1"/>
  <c r="R53" i="1"/>
  <c r="M53" i="1"/>
  <c r="Y52" i="1"/>
  <c r="R52" i="1"/>
  <c r="M52" i="1"/>
  <c r="Y51" i="1"/>
  <c r="Z51" i="1" s="1"/>
  <c r="R51" i="1"/>
  <c r="M51" i="1"/>
  <c r="Y50" i="1"/>
  <c r="Z50" i="1" s="1"/>
  <c r="R50" i="1"/>
  <c r="M50" i="1"/>
  <c r="Y49" i="1"/>
  <c r="Z49" i="1" s="1"/>
  <c r="R49" i="1"/>
  <c r="M49" i="1"/>
  <c r="Y48" i="1"/>
  <c r="R48" i="1"/>
  <c r="M48" i="1"/>
  <c r="Y47" i="1"/>
  <c r="Z47" i="1" s="1"/>
  <c r="R47" i="1"/>
  <c r="M47" i="1"/>
  <c r="Y46" i="1"/>
  <c r="R46" i="1"/>
  <c r="M46" i="1"/>
  <c r="Y45" i="1"/>
  <c r="Z45" i="1" s="1"/>
  <c r="R45" i="1"/>
  <c r="M45" i="1"/>
  <c r="Y44" i="1"/>
  <c r="R44" i="1"/>
  <c r="M44" i="1"/>
  <c r="Z43" i="1"/>
  <c r="Y43" i="1"/>
  <c r="R43" i="1"/>
  <c r="M43" i="1"/>
  <c r="Y42" i="1"/>
  <c r="R42" i="1"/>
  <c r="M42" i="1"/>
  <c r="Z41" i="1"/>
  <c r="Y41" i="1"/>
  <c r="R41" i="1"/>
  <c r="M41" i="1"/>
  <c r="Y40" i="1"/>
  <c r="R40" i="1"/>
  <c r="M40" i="1"/>
  <c r="Y39" i="1"/>
  <c r="R39" i="1"/>
  <c r="M39" i="1"/>
  <c r="Y38" i="1"/>
  <c r="R38" i="1"/>
  <c r="M38" i="1"/>
  <c r="Y37" i="1"/>
  <c r="R37" i="1"/>
  <c r="M37" i="1"/>
  <c r="Y36" i="1"/>
  <c r="R36" i="1"/>
  <c r="M36" i="1"/>
  <c r="Y35" i="1"/>
  <c r="Z35" i="1" s="1"/>
  <c r="R35" i="1"/>
  <c r="M35" i="1"/>
  <c r="Y34" i="1"/>
  <c r="Z34" i="1" s="1"/>
  <c r="R34" i="1"/>
  <c r="M34" i="1"/>
  <c r="Y33" i="1"/>
  <c r="Z33" i="1" s="1"/>
  <c r="R33" i="1"/>
  <c r="M33" i="1"/>
  <c r="Y32" i="1"/>
  <c r="R32" i="1"/>
  <c r="Q32" i="1"/>
  <c r="O32" i="1"/>
  <c r="K32" i="1"/>
  <c r="M32" i="1" s="1"/>
  <c r="Y31" i="1"/>
  <c r="R31" i="1"/>
  <c r="Q31" i="1"/>
  <c r="O31" i="1"/>
  <c r="M31" i="1"/>
  <c r="K31" i="1"/>
  <c r="Y30" i="1"/>
  <c r="R30" i="1"/>
  <c r="O30" i="1"/>
  <c r="M30" i="1"/>
  <c r="K30" i="1"/>
  <c r="Y29" i="1"/>
  <c r="Z29" i="1" s="1"/>
  <c r="R29" i="1"/>
  <c r="Q29" i="1"/>
  <c r="O29" i="1"/>
  <c r="K29" i="1"/>
  <c r="M29" i="1" s="1"/>
  <c r="Y28" i="1"/>
  <c r="R28" i="1"/>
  <c r="Q28" i="1"/>
  <c r="O28" i="1"/>
  <c r="M28" i="1"/>
  <c r="K28" i="1"/>
  <c r="Y27" i="1"/>
  <c r="R27" i="1"/>
  <c r="Z27" i="1" s="1"/>
  <c r="Q27" i="1"/>
  <c r="O27" i="1"/>
  <c r="K27" i="1"/>
  <c r="M27" i="1" s="1"/>
  <c r="Z26" i="1"/>
  <c r="Y26" i="1"/>
  <c r="R26" i="1"/>
  <c r="M26" i="1"/>
  <c r="Y25" i="1"/>
  <c r="R25" i="1"/>
  <c r="M25" i="1"/>
  <c r="Y24" i="1"/>
  <c r="R24" i="1"/>
  <c r="M24" i="1"/>
  <c r="Y23" i="1"/>
  <c r="R23" i="1"/>
  <c r="M23" i="1"/>
  <c r="Y22" i="1"/>
  <c r="R22" i="1"/>
  <c r="M22" i="1"/>
  <c r="Y21" i="1"/>
  <c r="R21" i="1"/>
  <c r="M21" i="1"/>
  <c r="Y20" i="1"/>
  <c r="R20" i="1"/>
  <c r="M20" i="1"/>
  <c r="Y19" i="1"/>
  <c r="Z19" i="1" s="1"/>
  <c r="R19" i="1"/>
  <c r="M19" i="1"/>
  <c r="Y18" i="1"/>
  <c r="R18" i="1"/>
  <c r="M18" i="1"/>
  <c r="Y17" i="1"/>
  <c r="R17" i="1"/>
  <c r="M17" i="1"/>
  <c r="Y16" i="1"/>
  <c r="Z16" i="1" s="1"/>
  <c r="R16" i="1"/>
  <c r="M16" i="1"/>
  <c r="Y15" i="1"/>
  <c r="R15" i="1"/>
  <c r="M15" i="1"/>
  <c r="W13" i="1"/>
  <c r="L13" i="1"/>
  <c r="I13" i="1"/>
  <c r="H13" i="1"/>
  <c r="V7" i="1"/>
  <c r="T4" i="1"/>
  <c r="R3" i="1"/>
  <c r="Z79" i="1" l="1"/>
  <c r="Z303" i="1"/>
  <c r="Z37" i="1"/>
  <c r="Z55" i="1"/>
  <c r="Z99" i="1"/>
  <c r="Z24" i="1"/>
  <c r="Z32" i="1"/>
  <c r="Z77" i="1"/>
  <c r="Z95" i="1"/>
  <c r="Z39" i="1"/>
  <c r="Z266" i="1"/>
  <c r="Z22" i="1"/>
  <c r="Z67" i="1"/>
  <c r="Z93" i="1"/>
  <c r="Z124" i="1"/>
  <c r="Z137" i="1"/>
  <c r="Z149" i="1"/>
  <c r="Z111" i="1"/>
  <c r="Z211" i="1"/>
  <c r="Z219" i="1"/>
  <c r="Z227" i="1"/>
  <c r="Z235" i="1"/>
  <c r="Z243" i="1"/>
  <c r="Z262" i="1"/>
  <c r="Z264" i="1"/>
  <c r="Z279" i="1"/>
  <c r="Z281" i="1"/>
  <c r="Z296" i="1"/>
  <c r="Z182" i="1"/>
  <c r="Z190" i="1"/>
  <c r="Z198" i="1"/>
  <c r="Z206" i="1"/>
  <c r="Z214" i="1"/>
  <c r="Z222" i="1"/>
  <c r="Z230" i="1"/>
  <c r="Z238" i="1"/>
  <c r="Z246" i="1"/>
  <c r="Z251" i="1"/>
  <c r="Z283" i="1"/>
  <c r="Z294" i="1"/>
  <c r="Z209" i="1"/>
  <c r="Z217" i="1"/>
  <c r="Z225" i="1"/>
  <c r="Z233" i="1"/>
  <c r="Z241" i="1"/>
  <c r="Z249" i="1"/>
  <c r="Z257" i="1"/>
  <c r="Z270" i="1"/>
  <c r="Z272" i="1"/>
  <c r="Z287" i="1"/>
  <c r="Z172" i="1"/>
  <c r="Z180" i="1"/>
  <c r="Z188" i="1"/>
  <c r="Z196" i="1"/>
  <c r="Z204" i="1"/>
  <c r="Z212" i="1"/>
  <c r="Z220" i="1"/>
  <c r="Z228" i="1"/>
  <c r="Z236" i="1"/>
  <c r="Z244" i="1"/>
  <c r="Z289" i="1"/>
  <c r="Z231" i="1"/>
  <c r="Z239" i="1"/>
  <c r="Z247" i="1"/>
  <c r="Z263" i="1"/>
  <c r="Z265" i="1"/>
  <c r="Z278" i="1"/>
  <c r="Z280" i="1"/>
  <c r="Z291" i="1"/>
  <c r="Z304" i="1"/>
  <c r="Z178" i="1"/>
  <c r="Z186" i="1"/>
  <c r="Z194" i="1"/>
  <c r="Z242" i="1"/>
  <c r="Z250" i="1"/>
  <c r="Z302" i="1"/>
  <c r="Z132" i="1"/>
  <c r="Z158" i="1"/>
  <c r="Z46" i="1"/>
  <c r="Z127" i="1"/>
  <c r="Z142" i="1"/>
  <c r="Z156" i="1"/>
  <c r="Z166" i="1"/>
  <c r="Z17" i="1"/>
  <c r="Z28" i="1"/>
  <c r="Z122" i="1"/>
  <c r="Z130" i="1"/>
  <c r="Z135" i="1"/>
  <c r="Z140" i="1"/>
  <c r="Z154" i="1"/>
  <c r="Z20" i="1"/>
  <c r="Z25" i="1"/>
  <c r="Z42" i="1"/>
  <c r="Z58" i="1"/>
  <c r="Z82" i="1"/>
  <c r="Z100" i="1"/>
  <c r="Z125" i="1"/>
  <c r="Z133" i="1"/>
  <c r="Z152" i="1"/>
  <c r="Z15" i="1"/>
  <c r="Z69" i="1"/>
  <c r="Z138" i="1"/>
  <c r="Z143" i="1"/>
  <c r="Z150" i="1"/>
  <c r="Z18" i="1"/>
  <c r="Z23" i="1"/>
  <c r="Z78" i="1"/>
  <c r="Z94" i="1"/>
  <c r="Z123" i="1"/>
  <c r="Z131" i="1"/>
  <c r="Z136" i="1"/>
  <c r="Z148" i="1"/>
  <c r="Z162" i="1"/>
  <c r="J13" i="1"/>
  <c r="R13" i="1"/>
  <c r="R4" i="1" s="1"/>
  <c r="R5" i="1" s="1"/>
  <c r="Z21" i="1"/>
  <c r="Z36" i="1"/>
  <c r="Z108" i="1"/>
  <c r="Z116" i="1"/>
  <c r="Z126" i="1"/>
  <c r="Z146" i="1"/>
  <c r="Z300" i="1"/>
  <c r="U4" i="1"/>
  <c r="Z260" i="1"/>
  <c r="Z292" i="1"/>
  <c r="Z88" i="1"/>
  <c r="Z187" i="1"/>
  <c r="Z38" i="1"/>
  <c r="Z54" i="1"/>
  <c r="Z70" i="1"/>
  <c r="Z86" i="1"/>
  <c r="Z128" i="1"/>
  <c r="Z268" i="1"/>
  <c r="Z56" i="1"/>
  <c r="Z52" i="1"/>
  <c r="Z84" i="1"/>
  <c r="Z161" i="1"/>
  <c r="Z169" i="1"/>
  <c r="Z177" i="1"/>
  <c r="Z185" i="1"/>
  <c r="Z193" i="1"/>
  <c r="Z201" i="1"/>
  <c r="Z72" i="1"/>
  <c r="Z179" i="1"/>
  <c r="Z276" i="1"/>
  <c r="Z163" i="1"/>
  <c r="Z203" i="1"/>
  <c r="Z31" i="1"/>
  <c r="Z48" i="1"/>
  <c r="Z65" i="1"/>
  <c r="Z80" i="1"/>
  <c r="Z96" i="1"/>
  <c r="Z98" i="1"/>
  <c r="Z159" i="1"/>
  <c r="Z167" i="1"/>
  <c r="Z175" i="1"/>
  <c r="Z183" i="1"/>
  <c r="Z191" i="1"/>
  <c r="Z199" i="1"/>
  <c r="Z207" i="1"/>
  <c r="Z215" i="1"/>
  <c r="Z223" i="1"/>
  <c r="Z284" i="1"/>
  <c r="Z40" i="1"/>
  <c r="Z171" i="1"/>
  <c r="Z195" i="1"/>
  <c r="Z30" i="1"/>
  <c r="Z13" i="1" s="1"/>
  <c r="Z44" i="1"/>
  <c r="Z60" i="1"/>
  <c r="Z76" i="1"/>
  <c r="Z92" i="1"/>
  <c r="Z165" i="1"/>
  <c r="Z173" i="1"/>
  <c r="Z181" i="1"/>
  <c r="Z189" i="1"/>
  <c r="Z197" i="1"/>
</calcChain>
</file>

<file path=xl/sharedStrings.xml><?xml version="1.0" encoding="utf-8"?>
<sst xmlns="http://schemas.openxmlformats.org/spreadsheetml/2006/main" count="1594" uniqueCount="383">
  <si>
    <t>BASED ON FUNDED VERSION CR 2122 01-30-2023</t>
  </si>
  <si>
    <t>Reconciliation to SSData</t>
  </si>
  <si>
    <t>MHSA Match</t>
  </si>
  <si>
    <t>Removed all Programs without MHSA funding and without cost.</t>
  </si>
  <si>
    <t>MHSA Funds</t>
  </si>
  <si>
    <t>Total MHSA</t>
  </si>
  <si>
    <t>CapTech Actuals</t>
  </si>
  <si>
    <t>CapTech MMR</t>
  </si>
  <si>
    <t>ARER Totals</t>
  </si>
  <si>
    <t>Removed 4100226958.83550 RUHS BH Integration. Not MHSA Funded.</t>
  </si>
  <si>
    <t>Total ARER Budcomp</t>
  </si>
  <si>
    <t>Variance</t>
  </si>
  <si>
    <t>PEI</t>
  </si>
  <si>
    <t>ITF</t>
  </si>
  <si>
    <t>LTC</t>
  </si>
  <si>
    <t>BH Integration</t>
  </si>
  <si>
    <t>Changed MHSA Category to match Plan Update Budget (Jacobs)</t>
  </si>
  <si>
    <t>Changed CARESLINE Integrated 4100226967.83800 to CSS Adults.</t>
  </si>
  <si>
    <t>Programs without MHSA funding but with cost.</t>
  </si>
  <si>
    <t>Changed cost to match MHSA funding (FSP Funded Only): IMD Excluded, RCRMC ITF, RCRMC ETS, TELECARE PSYCH FACILITY, MH ITF - MH DOCS, CSS CSU FSP OUTREACH, WESTERN CHILDREN's ADMIN, CHILDREN's REGIONAL ADMIN</t>
  </si>
  <si>
    <t>Need to change funding type to correct MHSA Category</t>
  </si>
  <si>
    <t>Change LTC Case Management from Realignment to CSS and BH Integration from County Funds NCC to CSS. (Per Jacob/Amy CR Funding Changes).</t>
  </si>
  <si>
    <t>IncludeARER</t>
  </si>
  <si>
    <t>Combined DeptID</t>
  </si>
  <si>
    <t>DEPTID NAME</t>
  </si>
  <si>
    <t>MHSA Funding</t>
  </si>
  <si>
    <t>CSS FSP Indicator</t>
  </si>
  <si>
    <t>MHSA Category</t>
  </si>
  <si>
    <t>PEI Program Type</t>
  </si>
  <si>
    <t>PEI Client Count 25 and Under</t>
  </si>
  <si>
    <t>PEI Client Count Total</t>
  </si>
  <si>
    <t>% 25 and Under</t>
  </si>
  <si>
    <t>1-Program Exp</t>
  </si>
  <si>
    <t>2-Admin</t>
  </si>
  <si>
    <t>Total Cost</t>
  </si>
  <si>
    <t>3-Medi-Cal FFP</t>
  </si>
  <si>
    <t>4-1991 Realignment</t>
  </si>
  <si>
    <t>5-BH Subaccount</t>
  </si>
  <si>
    <t>6-Other Funding</t>
  </si>
  <si>
    <t>7-TotalMHSA</t>
  </si>
  <si>
    <t>7-MHSA CAP</t>
  </si>
  <si>
    <t>7-MHSA CSS</t>
  </si>
  <si>
    <t>7-MHSA INN</t>
  </si>
  <si>
    <t>7-MHSA IT</t>
  </si>
  <si>
    <t>7-MHSA PEI</t>
  </si>
  <si>
    <t>7-MHSA WET</t>
  </si>
  <si>
    <t>Veterans %</t>
  </si>
  <si>
    <t>Veterans Cost</t>
  </si>
  <si>
    <t>Yes</t>
  </si>
  <si>
    <t>CSS - FSP ADULT ISRC - DESERT</t>
  </si>
  <si>
    <t>01-CSS</t>
  </si>
  <si>
    <t>FSP</t>
  </si>
  <si>
    <t>CSS01: Adults</t>
  </si>
  <si>
    <t>INDIO FSP ADULT</t>
  </si>
  <si>
    <t>DESERT FSP BRIDGES STEPDOWN</t>
  </si>
  <si>
    <t>LAKE ELSINORE ADULT FSP</t>
  </si>
  <si>
    <t>TEMECULA ADULT CLINIC - FSP</t>
  </si>
  <si>
    <t>CSS - HEMET ADULT CLINIC FSP</t>
  </si>
  <si>
    <t>MHSA PERRIS MH SERVICES FSP</t>
  </si>
  <si>
    <t>CORONA WELLNESS AND REC FSP</t>
  </si>
  <si>
    <t>BLAINE FSP ADULT</t>
  </si>
  <si>
    <t>THE BRIDGE PROGRAM</t>
  </si>
  <si>
    <t>MHSA FSP-ISRC-WEST ADULT</t>
  </si>
  <si>
    <t>PD OUTREACH</t>
  </si>
  <si>
    <t>LLU BEHAVIORAL MEDICINE CTR- IMD EXCLUDED</t>
  </si>
  <si>
    <t>AURORA CHARTER OAKS HOSPITAL IMD EXCLUDED</t>
  </si>
  <si>
    <t>SHARP MESA VISTA HOSPITAL- IMD EXCLUDED</t>
  </si>
  <si>
    <t>COLLEGE HOSPITAL CERRITOS - IMD EXCLUDED</t>
  </si>
  <si>
    <t>CANYON RIDGE HOSPITAL - IMD EXCLUDED</t>
  </si>
  <si>
    <t>PACIFIC GROVE HOSPITAL- IMD EXCLUDED</t>
  </si>
  <si>
    <t>LTC BOARD &amp; CARE</t>
  </si>
  <si>
    <t>SAN JACINTO FSP ADULT</t>
  </si>
  <si>
    <t>BLYTHE FSP</t>
  </si>
  <si>
    <t>CSS01: Children's</t>
  </si>
  <si>
    <t>BANNING FSP</t>
  </si>
  <si>
    <t>DESERT WRAPAROUND SVCS</t>
  </si>
  <si>
    <t>CSS - CHILDREN'S FSP-MDFT-DESERT</t>
  </si>
  <si>
    <t>INDIO FSP CHILDREN'S</t>
  </si>
  <si>
    <t>VCSS-FAST</t>
  </si>
  <si>
    <t>LAKE ELSINORE FSP CHILDRENS</t>
  </si>
  <si>
    <t>TEMECULA FSP CHILDRENS</t>
  </si>
  <si>
    <t>SAN JACINTO FSP CHILDRENS</t>
  </si>
  <si>
    <t>MID-COUNTY WRAPAROUND EAST</t>
  </si>
  <si>
    <t>MID-COUNTY WRAPAROUND WEST</t>
  </si>
  <si>
    <t>CSS - CHILDREN'S FSP-MDFT-MID CTY</t>
  </si>
  <si>
    <t>MHSA FSP MDFT-WEST EXPANSION</t>
  </si>
  <si>
    <t>FSP RIVERSIDE FAMILY WELLNESS</t>
  </si>
  <si>
    <t>FSP CHILDREN'S TREATMENT SRVS</t>
  </si>
  <si>
    <t>FSP CORONA FACT</t>
  </si>
  <si>
    <t>FSP MV CHILDRENS INTERAGENCY</t>
  </si>
  <si>
    <t>ISF WRAPAROUND</t>
  </si>
  <si>
    <t>FSP BRIDGE- DESERT</t>
  </si>
  <si>
    <t>CSS01: Older Adult</t>
  </si>
  <si>
    <t>MHSA FSP SMART-DESERT</t>
  </si>
  <si>
    <t>TEMECULA OLDER ADULT CLINIC FSP</t>
  </si>
  <si>
    <t>MHSA  FSP SMART-MID CTY</t>
  </si>
  <si>
    <t>SMART WEST STEP DOWN</t>
  </si>
  <si>
    <t>MHSA FSP SMART-WELL/RECOV</t>
  </si>
  <si>
    <t>OASIS REHAB-MHSA FSP TAY ISRC-DES</t>
  </si>
  <si>
    <t>CSS01: Transitional Age Youth</t>
  </si>
  <si>
    <t>MHSA FSP TAY ISRC VCSS INC</t>
  </si>
  <si>
    <t>MHSA FSP TAY ISRC - WEST ADULT</t>
  </si>
  <si>
    <t>TELECARE PSYCHIATRIC HEALTH FACILITY</t>
  </si>
  <si>
    <t>CSS02: Adults Clinic Expansion and Enhancements</t>
  </si>
  <si>
    <t>PEI - DESERT NAVIGATION CENTER</t>
  </si>
  <si>
    <t>CSS02: Crisis System of Care</t>
  </si>
  <si>
    <t>DESERT YHIP</t>
  </si>
  <si>
    <t>MIDCO YHIP</t>
  </si>
  <si>
    <t>WESTERN CHILDREN YHIP</t>
  </si>
  <si>
    <t>RCRMC ETS</t>
  </si>
  <si>
    <t>RCRMC ITF</t>
  </si>
  <si>
    <t>CSS CSU FSP OUTREACH</t>
  </si>
  <si>
    <t>MENTAL HEALTH ITF- MH DOCS</t>
  </si>
  <si>
    <t>MOBILE RESPONSE PROGRAM - CREST SPRUCE</t>
  </si>
  <si>
    <t>MOBILE PSYCH SVC &amp; FSP OUTREACH</t>
  </si>
  <si>
    <t>ROCKY</t>
  </si>
  <si>
    <t>PERRIS MCMT MH</t>
  </si>
  <si>
    <t>LAKE ELSINORE MCMT MH</t>
  </si>
  <si>
    <t>DESERT HOT SPRINGS MCMT MH</t>
  </si>
  <si>
    <t>JURUPA VALLEY MCMT MH</t>
  </si>
  <si>
    <t>YTEC WRAPAROUND PROG CODE 74750</t>
  </si>
  <si>
    <t>CSS02: Mental Health Courts and Justice Involved</t>
  </si>
  <si>
    <t>YTEC FFT PROG CODE 74750</t>
  </si>
  <si>
    <t>TAY FSP DESERT</t>
  </si>
  <si>
    <t>CSS02: Transitional Age Youth Clinic Expansion</t>
  </si>
  <si>
    <t>TAY FSP MIDCOUNTY</t>
  </si>
  <si>
    <t>TAY FSP WEST</t>
  </si>
  <si>
    <t>RII-MHSA DESERT PERM HOUSING</t>
  </si>
  <si>
    <t>CSS03: Housing and Housing Programs</t>
  </si>
  <si>
    <t>RII-MHSA RIVERSIDE PERM HOUSING</t>
  </si>
  <si>
    <t>HHOPE PERMANENT HOUSING</t>
  </si>
  <si>
    <t>RRH HOMELESS OUTREACH</t>
  </si>
  <si>
    <t>HHOPE CES</t>
  </si>
  <si>
    <t>MHSA FSP HOUSING</t>
  </si>
  <si>
    <t>MHSA OUTREACH EMER HOUSING</t>
  </si>
  <si>
    <t>MAINSTREAM VOUCHER HOUSING</t>
  </si>
  <si>
    <t>RIVERSIDE SAFE HAVEN OPS COST</t>
  </si>
  <si>
    <t>MHSA DESERT SAFE HAVEN</t>
  </si>
  <si>
    <t>HHOPE CLIENT SERVICES</t>
  </si>
  <si>
    <t>CSS NON-RECURRING COSTS</t>
  </si>
  <si>
    <t>N/A</t>
  </si>
  <si>
    <t>CSS Admin</t>
  </si>
  <si>
    <t>QUALITY IMPROVEMENT-O/P</t>
  </si>
  <si>
    <t>MHSA ADMIN</t>
  </si>
  <si>
    <t>MHSA PLANNING</t>
  </si>
  <si>
    <t>LTC CASE MANAGEMENT</t>
  </si>
  <si>
    <t>Non-FSP</t>
  </si>
  <si>
    <t>RUHS BH INTEGRATION (FQ RU's)</t>
  </si>
  <si>
    <t>CSS - INDIO ADULT CLINIC</t>
  </si>
  <si>
    <t>CSS - BLYTHE ADULT CLINIC</t>
  </si>
  <si>
    <t>CSS - BANNING ADULT CLINIC</t>
  </si>
  <si>
    <t>MHSA OASIS CASE MGMT</t>
  </si>
  <si>
    <t>CSS - LAKE ELSINORE ADULT CLINIC</t>
  </si>
  <si>
    <t>CSS - TEMECULA ADULT CLINIC</t>
  </si>
  <si>
    <t>CSS - HEMET ADULT CLINIC</t>
  </si>
  <si>
    <t>MHSA PERRIS MH SERVICES</t>
  </si>
  <si>
    <t>LAKE ELSINORE ADULT - IEHP</t>
  </si>
  <si>
    <t>MHSA MAIN STREET CLINIC</t>
  </si>
  <si>
    <t>MHSA BLAINE ST CLINIC</t>
  </si>
  <si>
    <t>PATHWAY TO SUCCESS</t>
  </si>
  <si>
    <t>RUBIDOUX FAMILY CARE CENTER</t>
  </si>
  <si>
    <t>PATHWAY TO SUCCESS (MIDCO)</t>
  </si>
  <si>
    <t>WESTERN REGION OUTREACH</t>
  </si>
  <si>
    <t>REPRESENTATIVE PAYEE</t>
  </si>
  <si>
    <t>LTC MHSA EXPANSION</t>
  </si>
  <si>
    <t>THE NAVIGATION CENTER</t>
  </si>
  <si>
    <t>TELEPSYCHIATRY</t>
  </si>
  <si>
    <t>ASSISTED OUTPATIENT TREATMENT (LAURA'S LAW)</t>
  </si>
  <si>
    <t>RUHS-BH RESIDENCY PROGRAM</t>
  </si>
  <si>
    <t>CARESLINE INTEGRATED</t>
  </si>
  <si>
    <t>PALM SPRINGS UNIFIED SCHOOL DISTRICT</t>
  </si>
  <si>
    <t>CSS02: Children's Clinic Expansion and Enhancements</t>
  </si>
  <si>
    <t>CSS - INDIO CHILDREN'S CLINIC</t>
  </si>
  <si>
    <t>CSS - BLYTHE CHILDREN'S CLINIC</t>
  </si>
  <si>
    <t>CSS - BANNING CHILDREN'S CLINIC</t>
  </si>
  <si>
    <t>CSS - VCSS LAKE ELSINORE MH SVCS - 100%</t>
  </si>
  <si>
    <t>MHSA LAKE ELSINORE CLINIC</t>
  </si>
  <si>
    <t>CSS - TEMECULA CHILDREN'S</t>
  </si>
  <si>
    <t>CSS - SAN JACINTO CHILDREN'S CLINIC</t>
  </si>
  <si>
    <t>YOUTH CONNECT</t>
  </si>
  <si>
    <t>CAROLYN WYLIE CENTER-WEST</t>
  </si>
  <si>
    <t>OLIVE CREST WRAPAROUND SERVICES</t>
  </si>
  <si>
    <t>RIVERSIDE FAMILY WELLNESS CENTER</t>
  </si>
  <si>
    <t>WESTERN CHILDREN'S ADMIN</t>
  </si>
  <si>
    <t>CHILD TREATMENT SERVICES- OP</t>
  </si>
  <si>
    <t>FACT-CORONA</t>
  </si>
  <si>
    <t>MV CHILDREN'S INTERAGENCY</t>
  </si>
  <si>
    <t>OLIVE CREST STRTP</t>
  </si>
  <si>
    <t>CHARLEE TBS</t>
  </si>
  <si>
    <t>NEW HAVEN YOUTH &amp; FAMILY SVCS</t>
  </si>
  <si>
    <t>MHSA OASIS REHAB MENTORING</t>
  </si>
  <si>
    <t>CHILDHELP, INC</t>
  </si>
  <si>
    <t>COMMUNITY ACCESS NETWORK</t>
  </si>
  <si>
    <t>OAK GROVE</t>
  </si>
  <si>
    <t>MHSA CHARLEE TBS</t>
  </si>
  <si>
    <t>MHSA NEW HAVEN YOUTH &amp; FAMILY SVCS TBS</t>
  </si>
  <si>
    <t>MHSA VCSS - TRAC TBS</t>
  </si>
  <si>
    <t>TRINITY YOUTH SERVICES</t>
  </si>
  <si>
    <t>CALIFORNIA FAMILY LIFE CENTER</t>
  </si>
  <si>
    <t>ARK HOMES ISFC</t>
  </si>
  <si>
    <t>CHILDNET YOUTH AND FAMILY SERVICES</t>
  </si>
  <si>
    <t>NEW BEGININGS RES TREATMENT</t>
  </si>
  <si>
    <t>FATHER'S HEART RANCH STRTP</t>
  </si>
  <si>
    <t>FERREE'S GROUP HOME</t>
  </si>
  <si>
    <t>CHILDREN'S AUTHORIZATION SERVICE TEAM</t>
  </si>
  <si>
    <t>DPSS DIRECT AUTHORIZATION TEAM</t>
  </si>
  <si>
    <t>YOUTH AND FAMILY COMM SERVICES</t>
  </si>
  <si>
    <t>TRAC CASE MGT</t>
  </si>
  <si>
    <t>CHILDREN'S REGIONAL ADMIN</t>
  </si>
  <si>
    <t>VCSS - TRAC REFERRALS</t>
  </si>
  <si>
    <t>TRAC (CHILDREN'S CASE MANAGEMENT)</t>
  </si>
  <si>
    <t>MHSA PARENT SUPPORT &amp; TRAINING</t>
  </si>
  <si>
    <t>CHILDREN'S TRAINING COST</t>
  </si>
  <si>
    <t>MFI</t>
  </si>
  <si>
    <t>JURUPA UNIFIED SCHOOL DISTRICT</t>
  </si>
  <si>
    <t>COMMUNITY SERVICES CORPORATION</t>
  </si>
  <si>
    <t>MCKINLEY CHILDRENS CENTER</t>
  </si>
  <si>
    <t>ALMA FAMILY SERVICES</t>
  </si>
  <si>
    <t>CALIFORNIA MENTOR</t>
  </si>
  <si>
    <t>SPECIAL SVCS FOR GROUPS</t>
  </si>
  <si>
    <t>LATINO COMMISSION</t>
  </si>
  <si>
    <t>SYCAMORES</t>
  </si>
  <si>
    <t>OLIVE CREST SOC - PALM DESERT</t>
  </si>
  <si>
    <t>DESERT SANDS UNIFIED SCHOOL DISTRICT</t>
  </si>
  <si>
    <t>OASIS BEHAVIORAL HEALTH</t>
  </si>
  <si>
    <t>VCSS 0-5 PROGRAM</t>
  </si>
  <si>
    <t>CHARLEE FAMILY CARE</t>
  </si>
  <si>
    <t>COMMUNITY ACCESS NETWORK SOC - LAKE ELSINORE</t>
  </si>
  <si>
    <t>CHARLEE</t>
  </si>
  <si>
    <t>CREATIVE SOLUTIONS - EPSDT</t>
  </si>
  <si>
    <t>WALDEN FAMILY SERVICES</t>
  </si>
  <si>
    <t>KAMALII COUNSELING CENTER</t>
  </si>
  <si>
    <t>COMMUNITY ACCESS NETWORK CART</t>
  </si>
  <si>
    <t>A COMING OF AGE</t>
  </si>
  <si>
    <t>THE HEART MATTERS</t>
  </si>
  <si>
    <t>RADY CHILDREN'S HOSPITAL</t>
  </si>
  <si>
    <t>CSS - TELECARE CORP CSU</t>
  </si>
  <si>
    <t>TELECARE CRT LAGOS</t>
  </si>
  <si>
    <t>RII ART DESERT</t>
  </si>
  <si>
    <t>RII CRT DESERT</t>
  </si>
  <si>
    <t>TELECARE CRISIS WALK IN CENTER (MIDCOUNTY)</t>
  </si>
  <si>
    <t>RII- CRISIS WALK IN CENTER  - RIVERSIDE</t>
  </si>
  <si>
    <t>RII- CRISIS WALK IN CENTER  - DESERT</t>
  </si>
  <si>
    <t>LAKE ELSINORE CARE COORD TEAM</t>
  </si>
  <si>
    <t>JACKSON HOUSE TEMECULA CRT</t>
  </si>
  <si>
    <t>SENECA</t>
  </si>
  <si>
    <t>PLAN-IT LIFE</t>
  </si>
  <si>
    <t>HARVEST SAFE HAVEN STRTP</t>
  </si>
  <si>
    <t>MENTAL HEALTH COURT</t>
  </si>
  <si>
    <t>MENTAL HEALTH COURT PROP 47</t>
  </si>
  <si>
    <t>MH DETENTION - INDIO</t>
  </si>
  <si>
    <t>SOUTHWEST DETENTION CENTER</t>
  </si>
  <si>
    <t>RIVERSIDE DETENTION CENTER</t>
  </si>
  <si>
    <t>DETENTION AB109</t>
  </si>
  <si>
    <t>MH DETENTION-BANNING</t>
  </si>
  <si>
    <t>RUHS-BH DCU</t>
  </si>
  <si>
    <t>DETENTION DISCHARGE PLANNING</t>
  </si>
  <si>
    <t>YTEC RIVERSIDE</t>
  </si>
  <si>
    <t>MHSA JUVENILE JUSTICE</t>
  </si>
  <si>
    <t>YTEC FFT PROG CODE 74740</t>
  </si>
  <si>
    <t>DESERT HOT SPRINGS - OA</t>
  </si>
  <si>
    <t>CSS02: Older Adults Clinic Expansion and Enhancements</t>
  </si>
  <si>
    <t>MHSA OLDER ADULT-DESERT</t>
  </si>
  <si>
    <t>TEMECULA OLDER ADULT CLINIC</t>
  </si>
  <si>
    <t>LAKE ELSINORE OLDER ADULT CLINIC</t>
  </si>
  <si>
    <t>MHSA OLDER ADULT-MID-COUNTY</t>
  </si>
  <si>
    <t>MHSA-OLDER ADULTS-RUSTIN</t>
  </si>
  <si>
    <t>TAY DESERT DROP-IN</t>
  </si>
  <si>
    <t>DESERT SAGE BOARD &amp; CARE BLDG COSTS</t>
  </si>
  <si>
    <t>TAY MID COUNTY DROP-IN</t>
  </si>
  <si>
    <t>TAY WEST DROP-IN</t>
  </si>
  <si>
    <t>MHSA OUTREACH &amp; ENGAGEMENT</t>
  </si>
  <si>
    <t>MFI ROY'S DESERT SPRINGS</t>
  </si>
  <si>
    <t>RII- DESERT SAGE</t>
  </si>
  <si>
    <t>MFI DESERT SAGE</t>
  </si>
  <si>
    <t>MHSA EFSP REGION E</t>
  </si>
  <si>
    <t>WRAPAROUND HOUSING</t>
  </si>
  <si>
    <t>HOUSING LIFE SUPPORT</t>
  </si>
  <si>
    <t>PD HOMELESS OUTREACH</t>
  </si>
  <si>
    <t>HOUSING REGION ADMIN</t>
  </si>
  <si>
    <t>WESTERN ECM</t>
  </si>
  <si>
    <t>COMMUNITY SUPPORTS MH</t>
  </si>
  <si>
    <t>MHSA EFSP REGION A</t>
  </si>
  <si>
    <t>MHSA EFSP REGION B</t>
  </si>
  <si>
    <t>MHSA EFSP REGION C</t>
  </si>
  <si>
    <t>MHSA EFSP REGION D</t>
  </si>
  <si>
    <t>HOUSING PROP 47</t>
  </si>
  <si>
    <t>MENIFEE OUTREACH</t>
  </si>
  <si>
    <t>OASIS BUILDING COST- ANKA</t>
  </si>
  <si>
    <t>OASIS BUILDING COST- TELECARE</t>
  </si>
  <si>
    <t>9890 COUNTY FARM RD BLDG 2 &amp; 3</t>
  </si>
  <si>
    <t>85 RAMONA EXPRESSWAY PERRIS CSU</t>
  </si>
  <si>
    <t>PEER SUPPORT RC - INDIO</t>
  </si>
  <si>
    <t>CSS03: Lived Experience Integration of Care</t>
  </si>
  <si>
    <t>PEER SUPPORT RC - TEMECULA</t>
  </si>
  <si>
    <t>PEER SUPPORT RC - PERRIS</t>
  </si>
  <si>
    <t>PEER SUPPORT RC - RIVERSIDE</t>
  </si>
  <si>
    <t>RII-ART WORKS</t>
  </si>
  <si>
    <t>MHSA FAMILY ADVOCATE</t>
  </si>
  <si>
    <t>MHSA CONSUMER AFFAIRS</t>
  </si>
  <si>
    <t>MHSA PEI ADMIN</t>
  </si>
  <si>
    <t>02-PEI</t>
  </si>
  <si>
    <t>PEI Admin</t>
  </si>
  <si>
    <t/>
  </si>
  <si>
    <t>WHOLE PERSON CARE</t>
  </si>
  <si>
    <t>PEI-01 Mental Health Outreach, Awareness, and Stigma Reduction</t>
  </si>
  <si>
    <t>Access &amp; Linkage</t>
  </si>
  <si>
    <t>VISION Y COMPROMISO-HISP-PROMO</t>
  </si>
  <si>
    <t>SSG - AAPI - CMHPP</t>
  </si>
  <si>
    <t>BORREGO CHF - LGBT - CMHPP</t>
  </si>
  <si>
    <t>RIVSB INDIAN HEALTH-NTAM-CMHPP</t>
  </si>
  <si>
    <t>AFRICAN AMERICAN HC-AFAM-CMHPP</t>
  </si>
  <si>
    <t>CULTURAL COMPETENCY</t>
  </si>
  <si>
    <t>Outreach</t>
  </si>
  <si>
    <t>OUTREACH AWARENESS STIGMA REDUCTION</t>
  </si>
  <si>
    <t>CONTACT FOR CHANGE - MHSA PEI</t>
  </si>
  <si>
    <t>COMMUNITY CONNECT HELPLINE</t>
  </si>
  <si>
    <t>Suicide Prevention</t>
  </si>
  <si>
    <t>PEI MOBILE PCIT-DESERT</t>
  </si>
  <si>
    <t>PEI-02 Parent Education and Support</t>
  </si>
  <si>
    <t>Early Intervention</t>
  </si>
  <si>
    <t>PEI MOBILE PCIT-MID COUNTY</t>
  </si>
  <si>
    <t>PEI MOBILE PCIT-WEST</t>
  </si>
  <si>
    <t>PEI PRESCHOOL 0-5</t>
  </si>
  <si>
    <t>CALIFORNIA HEALTH COLLABORATIVE</t>
  </si>
  <si>
    <t>MFI-STRENGTHENING FAMILIES</t>
  </si>
  <si>
    <t>Prevention</t>
  </si>
  <si>
    <t>RLC-STRENGTHENING FAMILIES</t>
  </si>
  <si>
    <t>CAROLINE WYLIE CENTER-TRIPLE P</t>
  </si>
  <si>
    <t>FAMILIES ACHIEVING SUCCESS (GIRLS)</t>
  </si>
  <si>
    <t>FAMILIES ACHIEVING SUCCESS (BOYS)</t>
  </si>
  <si>
    <t>PARENT EDUCATION &amp; SUPPORT</t>
  </si>
  <si>
    <t>PEI - DESERT HOT SPRINGS</t>
  </si>
  <si>
    <t>PEI-03 Early Intervention for Families in Schools</t>
  </si>
  <si>
    <t>OPERATION SAFEHOUSE TAY RESILIENCY</t>
  </si>
  <si>
    <t>PEI-04 Transition Age Youth (TAY) Project</t>
  </si>
  <si>
    <t>TRANSITIONAL AGE YOUTH PROJECT</t>
  </si>
  <si>
    <t>OPERATION SAFE HOUSE PEI OUTREACH</t>
  </si>
  <si>
    <t>MHSA PEI-CBT WEST</t>
  </si>
  <si>
    <t>PEI-05 First Onset for Older Adults</t>
  </si>
  <si>
    <t>THE CENTER - OAEID</t>
  </si>
  <si>
    <t>INLAND CAREGIVER RESOURCE CENTER</t>
  </si>
  <si>
    <t>INLAND CAREGIVER RESOURCE CENTER CBT LLD</t>
  </si>
  <si>
    <t>FIRST ONSET FOR OLDER ADULTS</t>
  </si>
  <si>
    <t>JURUPA USD - TRAUMA IN SCHOOLS</t>
  </si>
  <si>
    <t>PEI-06 Trauma-Exposed Services for All Ages</t>
  </si>
  <si>
    <t>TRAUMA EXPOSED SVCS ALL AGES</t>
  </si>
  <si>
    <t>OPERATION SAFEHOUSE - SEEKING SAFETY</t>
  </si>
  <si>
    <t>OPERATION SAFEHOUSE - CBITS</t>
  </si>
  <si>
    <t>SEEKING SAFETY - MHSA PEI</t>
  </si>
  <si>
    <t>REACH OUT</t>
  </si>
  <si>
    <t>PEI-07 Underserved Cultural Polpulations</t>
  </si>
  <si>
    <t>FAMILY HEALTH &amp; SUPPORT BRAAF</t>
  </si>
  <si>
    <t>FAMILY HEALTH  &amp; SUPPORT NETWORK, INC</t>
  </si>
  <si>
    <t>SSG - AAPI - SITIF</t>
  </si>
  <si>
    <t>RIVERSIDE COMM HEALTH FOUNDATION</t>
  </si>
  <si>
    <t>RIVSB INDIAN HEALTH-STC</t>
  </si>
  <si>
    <t>UNDERSERVED CULTURAL POPULATIONS</t>
  </si>
  <si>
    <t>SIGMA BETA XI INC</t>
  </si>
  <si>
    <t>INN - RESILIENT BRAVE YOUTH</t>
  </si>
  <si>
    <t>03-INN</t>
  </si>
  <si>
    <t>INN-06 Resilient Brave Youth</t>
  </si>
  <si>
    <t>INN TECH SUITE</t>
  </si>
  <si>
    <t>INN-07 Technology Suite (Tech Suite)</t>
  </si>
  <si>
    <t>MHSA WET WORKFORCE STAFFING SUPPORT</t>
  </si>
  <si>
    <t>04-WET</t>
  </si>
  <si>
    <t>WET-01 Workforce Staffing Support</t>
  </si>
  <si>
    <t>MHSA WET TRAIN &amp; TECH ASSISTANCE</t>
  </si>
  <si>
    <t>WET-02 Training and Technical Assistance</t>
  </si>
  <si>
    <t>MHSA WET MH CAREER PATHWAYS</t>
  </si>
  <si>
    <t>WET-03 Mental Health Career Pathways</t>
  </si>
  <si>
    <t>LEHMAN STUDENT TEACHING CLINIC</t>
  </si>
  <si>
    <t>WET-04 Residency and Internship</t>
  </si>
  <si>
    <t>PSYCH RESIDENCY PROGRAM</t>
  </si>
  <si>
    <t>MHSA WET RESIDENCY/INTERNSHIP</t>
  </si>
  <si>
    <t>MHSA WET FINANCIAL INCENTIVES</t>
  </si>
  <si>
    <t>WET-05 Financial Incentives for Workforce Development</t>
  </si>
  <si>
    <t>MHSA CAPITAL PROJECTS</t>
  </si>
  <si>
    <t>05-CFTN</t>
  </si>
  <si>
    <t>CFTN- Capital Facilities/Technology Needs</t>
  </si>
  <si>
    <t xml:space="preserve">Removed General Administration 4100413649.83600. </t>
  </si>
  <si>
    <t>Removed Calworks Programs. 4100211. Should not be MHSA Funded.</t>
  </si>
  <si>
    <t>Removed Disaster Relief 4100209793.74700.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</si>
</sst>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.00000"/>
    <numFmt numFmtId="165" formatCode="_(* #,##0_);_(* \(#,##0\);_(* &quot;-&quot;??_);_(@_)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6"/>
      <name val="Calibri"/>
      <family val="2"/>
    </font>
    <font>
      <sz val="11"/>
      <color indexed="8"/>
      <name val="Calibri"/>
      <family val="2"/>
    </font>
    <font>
      <b/>
      <u/>
      <sz val="9"/>
      <color indexed="8"/>
      <name val="Calibri"/>
      <family val="2"/>
    </font>
    <font>
      <sz val="9"/>
      <color indexed="8"/>
      <name val="Calibri"/>
      <family val="2"/>
    </font>
    <font>
      <sz val="9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9"/>
      <color indexed="8"/>
      <name val="Calibri"/>
      <family val="2"/>
    </font>
    <font>
      <u/>
      <sz val="9"/>
      <color indexed="8"/>
      <name val="Calibri"/>
      <family val="2"/>
    </font>
    <font>
      <b/>
      <sz val="8"/>
      <color theme="0"/>
      <name val="Calibri"/>
      <family val="2"/>
      <scheme val="minor"/>
    </font>
    <font>
      <sz val="10"/>
      <color indexed="8"/>
      <name val="Arial"/>
      <family val="2"/>
    </font>
    <font>
      <sz val="11"/>
      <color rgb="FFFF0000"/>
      <name val="Calibri"/>
      <family val="2"/>
    </font>
    <font>
      <sz val="9"/>
      <color rgb="FFFF0000"/>
      <name val="Calibri"/>
      <family val="2"/>
    </font>
    <font>
      <sz val="8"/>
      <color indexed="8"/>
      <name val="Calibri"/>
      <family val="2"/>
    </font>
    <font>
      <b/>
      <sz val="10"/>
      <color indexed="8"/>
      <name val="Calibri"/>
      <family val="2"/>
    </font>
    <font>
      <sz val="11"/>
      <color indexed="9"/>
      <name val="Calibri"/>
      <family val="2"/>
    </font>
    <font>
      <sz val="9"/>
      <color theme="0"/>
      <name val="Calibri"/>
      <family val="2"/>
      <scheme val="minor"/>
    </font>
    <font>
      <sz val="9"/>
      <color indexed="8"/>
      <name val="Arial"/>
      <family val="2"/>
    </font>
    <font>
      <sz val="11"/>
      <name val="Calibri"/>
      <family val="2"/>
    </font>
    <font>
      <sz val="11"/>
      <color theme="1"/>
      <name val="Calibri"/>
      <family val="2"/>
    </font>
  </fonts>
  <fills count="17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theme="6"/>
      </patternFill>
    </fill>
    <fill>
      <patternFill patternType="solid">
        <fgColor theme="8"/>
      </patternFill>
    </fill>
    <fill>
      <patternFill patternType="solid">
        <fgColor theme="4" tint="-0.249977111117893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indexed="62"/>
      </patternFill>
    </fill>
    <fill>
      <patternFill patternType="gray0625"/>
    </fill>
    <fill>
      <patternFill patternType="gray0625">
        <bgColor indexed="13"/>
      </patternFill>
    </fill>
    <fill>
      <patternFill patternType="gray0625">
        <bgColor indexed="50"/>
      </patternFill>
    </fill>
    <fill>
      <patternFill patternType="gray0625">
        <bgColor indexed="53"/>
      </patternFill>
    </fill>
    <fill>
      <patternFill patternType="gray0625">
        <bgColor rgb="FF00B0F0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9">
    <xf numFmtId="0" fontId="0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2" fillId="2" borderId="1" applyNumberFormat="0" applyAlignment="0" applyProtection="0"/>
    <xf numFmtId="0" fontId="3" fillId="0" borderId="2" applyNumberFormat="0" applyFill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14" fillId="0" borderId="0"/>
    <xf numFmtId="0" fontId="14" fillId="0" borderId="0"/>
  </cellStyleXfs>
  <cellXfs count="145">
    <xf numFmtId="0" fontId="0" fillId="0" borderId="0" xfId="0"/>
    <xf numFmtId="49" fontId="5" fillId="0" borderId="0" xfId="0" applyNumberFormat="1" applyFont="1"/>
    <xf numFmtId="164" fontId="0" fillId="0" borderId="0" xfId="0" applyNumberFormat="1"/>
    <xf numFmtId="165" fontId="1" fillId="0" borderId="0" xfId="1" applyNumberFormat="1" applyFont="1"/>
    <xf numFmtId="10" fontId="1" fillId="0" borderId="0" xfId="2" applyNumberFormat="1" applyFont="1"/>
    <xf numFmtId="0" fontId="7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4" fontId="8" fillId="0" borderId="0" xfId="0" applyNumberFormat="1" applyFont="1"/>
    <xf numFmtId="43" fontId="1" fillId="0" borderId="0" xfId="1" applyFont="1" applyAlignment="1"/>
    <xf numFmtId="10" fontId="9" fillId="0" borderId="0" xfId="2" applyNumberFormat="1" applyFont="1" applyFill="1"/>
    <xf numFmtId="0" fontId="9" fillId="0" borderId="0" xfId="0" applyFont="1"/>
    <xf numFmtId="49" fontId="8" fillId="0" borderId="0" xfId="0" applyNumberFormat="1" applyFont="1"/>
    <xf numFmtId="164" fontId="10" fillId="0" borderId="0" xfId="0" applyNumberFormat="1" applyFont="1"/>
    <xf numFmtId="0" fontId="10" fillId="0" borderId="0" xfId="0" applyFont="1"/>
    <xf numFmtId="165" fontId="10" fillId="0" borderId="0" xfId="1" applyNumberFormat="1" applyFont="1"/>
    <xf numFmtId="10" fontId="10" fillId="0" borderId="0" xfId="2" applyNumberFormat="1" applyFont="1"/>
    <xf numFmtId="14" fontId="10" fillId="0" borderId="0" xfId="0" applyNumberFormat="1" applyFont="1"/>
    <xf numFmtId="0" fontId="10" fillId="0" borderId="0" xfId="0" applyFont="1" applyAlignment="1">
      <alignment horizontal="left"/>
    </xf>
    <xf numFmtId="43" fontId="10" fillId="0" borderId="0" xfId="1" applyFont="1" applyAlignment="1"/>
    <xf numFmtId="10" fontId="8" fillId="0" borderId="0" xfId="2" applyNumberFormat="1" applyFont="1" applyFill="1"/>
    <xf numFmtId="0" fontId="8" fillId="0" borderId="0" xfId="0" applyFont="1"/>
    <xf numFmtId="43" fontId="11" fillId="0" borderId="2" xfId="4" applyNumberFormat="1" applyFont="1" applyFill="1" applyAlignment="1"/>
    <xf numFmtId="0" fontId="12" fillId="0" borderId="0" xfId="0" applyFont="1" applyAlignment="1">
      <alignment horizontal="center"/>
    </xf>
    <xf numFmtId="165" fontId="10" fillId="0" borderId="0" xfId="1" applyNumberFormat="1" applyFont="1" applyFill="1"/>
    <xf numFmtId="10" fontId="10" fillId="0" borderId="0" xfId="2" applyNumberFormat="1" applyFont="1" applyFill="1"/>
    <xf numFmtId="43" fontId="8" fillId="0" borderId="0" xfId="1" applyFont="1" applyFill="1" applyAlignment="1"/>
    <xf numFmtId="43" fontId="13" fillId="2" borderId="1" xfId="3" applyNumberFormat="1" applyFont="1" applyAlignment="1"/>
    <xf numFmtId="43" fontId="10" fillId="0" borderId="0" xfId="1" applyFont="1" applyFill="1" applyAlignment="1"/>
    <xf numFmtId="0" fontId="15" fillId="0" borderId="3" xfId="7" applyFont="1" applyBorder="1"/>
    <xf numFmtId="43" fontId="12" fillId="0" borderId="0" xfId="1" applyFont="1" applyAlignment="1">
      <alignment horizontal="center"/>
    </xf>
    <xf numFmtId="43" fontId="8" fillId="0" borderId="0" xfId="1" applyFont="1" applyAlignment="1">
      <alignment horizontal="center"/>
    </xf>
    <xf numFmtId="49" fontId="16" fillId="0" borderId="0" xfId="0" applyNumberFormat="1" applyFont="1"/>
    <xf numFmtId="0" fontId="15" fillId="0" borderId="0" xfId="7" applyFont="1"/>
    <xf numFmtId="43" fontId="10" fillId="0" borderId="0" xfId="0" applyNumberFormat="1" applyFont="1" applyAlignment="1">
      <alignment horizontal="left"/>
    </xf>
    <xf numFmtId="43" fontId="17" fillId="0" borderId="0" xfId="1" applyFont="1" applyAlignment="1">
      <alignment horizontal="right"/>
    </xf>
    <xf numFmtId="43" fontId="17" fillId="0" borderId="0" xfId="1" applyFont="1"/>
    <xf numFmtId="43" fontId="17" fillId="0" borderId="0" xfId="1" applyFont="1" applyAlignment="1"/>
    <xf numFmtId="49" fontId="8" fillId="5" borderId="0" xfId="0" applyNumberFormat="1" applyFont="1" applyFill="1"/>
    <xf numFmtId="164" fontId="10" fillId="5" borderId="0" xfId="0" applyNumberFormat="1" applyFont="1" applyFill="1"/>
    <xf numFmtId="0" fontId="10" fillId="5" borderId="0" xfId="0" applyFont="1" applyFill="1"/>
    <xf numFmtId="165" fontId="10" fillId="5" borderId="0" xfId="1" applyNumberFormat="1" applyFont="1" applyFill="1"/>
    <xf numFmtId="10" fontId="10" fillId="5" borderId="0" xfId="2" applyNumberFormat="1" applyFont="1" applyFill="1"/>
    <xf numFmtId="14" fontId="10" fillId="5" borderId="0" xfId="0" applyNumberFormat="1" applyFont="1" applyFill="1"/>
    <xf numFmtId="0" fontId="10" fillId="5" borderId="0" xfId="0" applyFont="1" applyFill="1" applyAlignment="1">
      <alignment horizontal="left"/>
    </xf>
    <xf numFmtId="0" fontId="8" fillId="5" borderId="0" xfId="0" applyFont="1" applyFill="1" applyAlignment="1">
      <alignment horizontal="right"/>
    </xf>
    <xf numFmtId="43" fontId="10" fillId="5" borderId="0" xfId="1" applyFont="1" applyFill="1" applyAlignment="1"/>
    <xf numFmtId="49" fontId="11" fillId="6" borderId="0" xfId="0" applyNumberFormat="1" applyFont="1" applyFill="1"/>
    <xf numFmtId="164" fontId="10" fillId="6" borderId="0" xfId="0" applyNumberFormat="1" applyFont="1" applyFill="1"/>
    <xf numFmtId="0" fontId="10" fillId="6" borderId="0" xfId="0" applyFont="1" applyFill="1"/>
    <xf numFmtId="165" fontId="10" fillId="6" borderId="0" xfId="1" applyNumberFormat="1" applyFont="1" applyFill="1"/>
    <xf numFmtId="10" fontId="10" fillId="6" borderId="0" xfId="2" applyNumberFormat="1" applyFont="1" applyFill="1"/>
    <xf numFmtId="14" fontId="10" fillId="6" borderId="0" xfId="0" applyNumberFormat="1" applyFont="1" applyFill="1"/>
    <xf numFmtId="0" fontId="10" fillId="6" borderId="0" xfId="0" applyFont="1" applyFill="1" applyAlignment="1">
      <alignment horizontal="left"/>
    </xf>
    <xf numFmtId="0" fontId="18" fillId="6" borderId="0" xfId="0" applyFont="1" applyFill="1"/>
    <xf numFmtId="43" fontId="10" fillId="6" borderId="0" xfId="1" applyFont="1" applyFill="1" applyAlignment="1"/>
    <xf numFmtId="0" fontId="11" fillId="7" borderId="0" xfId="0" applyFont="1" applyFill="1"/>
    <xf numFmtId="164" fontId="10" fillId="7" borderId="0" xfId="0" applyNumberFormat="1" applyFont="1" applyFill="1"/>
    <xf numFmtId="0" fontId="10" fillId="7" borderId="0" xfId="0" applyFont="1" applyFill="1"/>
    <xf numFmtId="165" fontId="10" fillId="7" borderId="0" xfId="1" applyNumberFormat="1" applyFont="1" applyFill="1"/>
    <xf numFmtId="10" fontId="10" fillId="7" borderId="0" xfId="2" applyNumberFormat="1" applyFont="1" applyFill="1"/>
    <xf numFmtId="0" fontId="18" fillId="7" borderId="0" xfId="0" applyFont="1" applyFill="1"/>
    <xf numFmtId="43" fontId="10" fillId="7" borderId="0" xfId="1" applyFont="1" applyFill="1" applyAlignment="1"/>
    <xf numFmtId="0" fontId="11" fillId="8" borderId="0" xfId="0" applyFont="1" applyFill="1"/>
    <xf numFmtId="164" fontId="10" fillId="8" borderId="0" xfId="0" applyNumberFormat="1" applyFont="1" applyFill="1"/>
    <xf numFmtId="0" fontId="10" fillId="8" borderId="0" xfId="0" applyFont="1" applyFill="1"/>
    <xf numFmtId="165" fontId="10" fillId="8" borderId="0" xfId="1" applyNumberFormat="1" applyFont="1" applyFill="1"/>
    <xf numFmtId="10" fontId="10" fillId="8" borderId="0" xfId="2" applyNumberFormat="1" applyFont="1" applyFill="1"/>
    <xf numFmtId="0" fontId="18" fillId="8" borderId="0" xfId="0" applyFont="1" applyFill="1"/>
    <xf numFmtId="43" fontId="10" fillId="8" borderId="0" xfId="1" applyFont="1" applyFill="1" applyAlignment="1"/>
    <xf numFmtId="0" fontId="11" fillId="9" borderId="0" xfId="0" applyFont="1" applyFill="1"/>
    <xf numFmtId="164" fontId="10" fillId="9" borderId="0" xfId="0" applyNumberFormat="1" applyFont="1" applyFill="1"/>
    <xf numFmtId="0" fontId="10" fillId="9" borderId="0" xfId="0" applyFont="1" applyFill="1"/>
    <xf numFmtId="165" fontId="10" fillId="9" borderId="0" xfId="1" applyNumberFormat="1" applyFont="1" applyFill="1"/>
    <xf numFmtId="10" fontId="10" fillId="9" borderId="0" xfId="2" applyNumberFormat="1" applyFont="1" applyFill="1"/>
    <xf numFmtId="0" fontId="18" fillId="9" borderId="0" xfId="0" applyFont="1" applyFill="1"/>
    <xf numFmtId="43" fontId="10" fillId="9" borderId="0" xfId="1" applyFont="1" applyFill="1" applyAlignment="1"/>
    <xf numFmtId="10" fontId="8" fillId="9" borderId="0" xfId="2" applyNumberFormat="1" applyFont="1" applyFill="1"/>
    <xf numFmtId="0" fontId="8" fillId="9" borderId="0" xfId="0" applyFont="1" applyFill="1"/>
    <xf numFmtId="165" fontId="8" fillId="0" borderId="0" xfId="1" applyNumberFormat="1" applyFont="1"/>
    <xf numFmtId="10" fontId="8" fillId="0" borderId="0" xfId="2" applyNumberFormat="1" applyFont="1"/>
    <xf numFmtId="43" fontId="8" fillId="0" borderId="0" xfId="1" applyFont="1"/>
    <xf numFmtId="0" fontId="4" fillId="4" borderId="4" xfId="6" applyBorder="1" applyAlignment="1">
      <alignment horizontal="center" wrapText="1"/>
    </xf>
    <xf numFmtId="164" fontId="4" fillId="4" borderId="4" xfId="6" applyNumberFormat="1" applyBorder="1" applyAlignment="1">
      <alignment horizontal="center" wrapText="1"/>
    </xf>
    <xf numFmtId="165" fontId="19" fillId="10" borderId="4" xfId="1" applyNumberFormat="1" applyFont="1" applyFill="1" applyBorder="1" applyAlignment="1">
      <alignment horizontal="center" wrapText="1"/>
    </xf>
    <xf numFmtId="10" fontId="19" fillId="10" borderId="4" xfId="2" applyNumberFormat="1" applyFont="1" applyFill="1" applyBorder="1" applyAlignment="1">
      <alignment horizontal="center" wrapText="1"/>
    </xf>
    <xf numFmtId="43" fontId="4" fillId="4" borderId="4" xfId="6" applyNumberFormat="1" applyBorder="1" applyAlignment="1">
      <alignment horizontal="center" wrapText="1"/>
    </xf>
    <xf numFmtId="43" fontId="4" fillId="3" borderId="4" xfId="5" applyNumberFormat="1" applyBorder="1" applyAlignment="1">
      <alignment horizontal="center" wrapText="1"/>
    </xf>
    <xf numFmtId="10" fontId="20" fillId="3" borderId="4" xfId="2" applyNumberFormat="1" applyFont="1" applyFill="1" applyBorder="1" applyAlignment="1">
      <alignment horizontal="center" wrapText="1"/>
    </xf>
    <xf numFmtId="43" fontId="20" fillId="3" borderId="4" xfId="5" applyNumberFormat="1" applyFont="1" applyBorder="1" applyAlignment="1">
      <alignment horizontal="center" wrapText="1"/>
    </xf>
    <xf numFmtId="0" fontId="0" fillId="0" borderId="0" xfId="0" applyAlignment="1">
      <alignment wrapText="1"/>
    </xf>
    <xf numFmtId="0" fontId="6" fillId="0" borderId="3" xfId="7" applyFont="1" applyBorder="1"/>
    <xf numFmtId="164" fontId="6" fillId="0" borderId="3" xfId="7" applyNumberFormat="1" applyFont="1" applyBorder="1"/>
    <xf numFmtId="0" fontId="6" fillId="11" borderId="0" xfId="7" applyFont="1" applyFill="1"/>
    <xf numFmtId="0" fontId="6" fillId="11" borderId="3" xfId="7" applyFont="1" applyFill="1" applyBorder="1"/>
    <xf numFmtId="10" fontId="6" fillId="11" borderId="3" xfId="2" applyNumberFormat="1" applyFont="1" applyFill="1" applyBorder="1" applyAlignment="1"/>
    <xf numFmtId="43" fontId="8" fillId="0" borderId="3" xfId="1" applyFont="1" applyFill="1" applyBorder="1" applyAlignment="1">
      <alignment horizontal="right"/>
    </xf>
    <xf numFmtId="43" fontId="21" fillId="0" borderId="0" xfId="1" applyFont="1" applyAlignment="1"/>
    <xf numFmtId="43" fontId="9" fillId="0" borderId="0" xfId="0" applyNumberFormat="1" applyFont="1"/>
    <xf numFmtId="0" fontId="8" fillId="11" borderId="3" xfId="0" applyFont="1" applyFill="1" applyBorder="1"/>
    <xf numFmtId="0" fontId="6" fillId="0" borderId="3" xfId="8" applyFont="1" applyBorder="1"/>
    <xf numFmtId="43" fontId="8" fillId="0" borderId="0" xfId="1" applyFont="1" applyFill="1" applyBorder="1" applyAlignment="1">
      <alignment horizontal="right"/>
    </xf>
    <xf numFmtId="0" fontId="6" fillId="7" borderId="3" xfId="7" applyFont="1" applyFill="1" applyBorder="1"/>
    <xf numFmtId="164" fontId="6" fillId="7" borderId="3" xfId="7" applyNumberFormat="1" applyFont="1" applyFill="1" applyBorder="1"/>
    <xf numFmtId="0" fontId="6" fillId="12" borderId="3" xfId="7" applyFont="1" applyFill="1" applyBorder="1"/>
    <xf numFmtId="43" fontId="8" fillId="7" borderId="3" xfId="1" applyFont="1" applyFill="1" applyBorder="1" applyAlignment="1">
      <alignment horizontal="right"/>
    </xf>
    <xf numFmtId="43" fontId="21" fillId="7" borderId="0" xfId="1" applyFont="1" applyFill="1" applyAlignment="1"/>
    <xf numFmtId="43" fontId="21" fillId="7" borderId="0" xfId="1" applyFont="1" applyFill="1" applyBorder="1" applyAlignment="1"/>
    <xf numFmtId="43" fontId="21" fillId="7" borderId="3" xfId="1" applyFont="1" applyFill="1" applyBorder="1" applyAlignment="1"/>
    <xf numFmtId="43" fontId="8" fillId="7" borderId="0" xfId="1" applyFont="1" applyFill="1" applyBorder="1" applyAlignment="1">
      <alignment horizontal="right"/>
    </xf>
    <xf numFmtId="43" fontId="21" fillId="0" borderId="0" xfId="1" applyFont="1" applyBorder="1" applyAlignment="1"/>
    <xf numFmtId="0" fontId="6" fillId="6" borderId="3" xfId="7" applyFont="1" applyFill="1" applyBorder="1"/>
    <xf numFmtId="164" fontId="6" fillId="6" borderId="3" xfId="7" applyNumberFormat="1" applyFont="1" applyFill="1" applyBorder="1"/>
    <xf numFmtId="0" fontId="6" fillId="13" borderId="3" xfId="7" applyFont="1" applyFill="1" applyBorder="1"/>
    <xf numFmtId="43" fontId="8" fillId="6" borderId="3" xfId="1" applyFont="1" applyFill="1" applyBorder="1" applyAlignment="1">
      <alignment horizontal="right"/>
    </xf>
    <xf numFmtId="43" fontId="21" fillId="6" borderId="0" xfId="1" applyFont="1" applyFill="1" applyAlignment="1"/>
    <xf numFmtId="43" fontId="21" fillId="0" borderId="3" xfId="1" applyFont="1" applyBorder="1" applyAlignment="1"/>
    <xf numFmtId="43" fontId="21" fillId="6" borderId="3" xfId="1" applyFont="1" applyFill="1" applyBorder="1" applyAlignment="1"/>
    <xf numFmtId="43" fontId="21" fillId="6" borderId="0" xfId="1" applyFont="1" applyFill="1" applyBorder="1" applyAlignment="1"/>
    <xf numFmtId="0" fontId="6" fillId="8" borderId="3" xfId="7" applyFont="1" applyFill="1" applyBorder="1"/>
    <xf numFmtId="164" fontId="6" fillId="8" borderId="3" xfId="7" applyNumberFormat="1" applyFont="1" applyFill="1" applyBorder="1"/>
    <xf numFmtId="0" fontId="6" fillId="14" borderId="3" xfId="7" applyFont="1" applyFill="1" applyBorder="1"/>
    <xf numFmtId="43" fontId="8" fillId="8" borderId="3" xfId="1" applyFont="1" applyFill="1" applyBorder="1" applyAlignment="1">
      <alignment horizontal="right"/>
    </xf>
    <xf numFmtId="43" fontId="8" fillId="8" borderId="0" xfId="1" applyFont="1" applyFill="1" applyBorder="1" applyAlignment="1">
      <alignment horizontal="right"/>
    </xf>
    <xf numFmtId="43" fontId="21" fillId="8" borderId="3" xfId="1" applyFont="1" applyFill="1" applyBorder="1" applyAlignment="1"/>
    <xf numFmtId="43" fontId="21" fillId="8" borderId="0" xfId="1" applyFont="1" applyFill="1" applyAlignment="1"/>
    <xf numFmtId="0" fontId="6" fillId="9" borderId="3" xfId="7" applyFont="1" applyFill="1" applyBorder="1"/>
    <xf numFmtId="164" fontId="6" fillId="9" borderId="3" xfId="7" applyNumberFormat="1" applyFont="1" applyFill="1" applyBorder="1"/>
    <xf numFmtId="0" fontId="6" fillId="15" borderId="3" xfId="7" applyFont="1" applyFill="1" applyBorder="1"/>
    <xf numFmtId="43" fontId="6" fillId="9" borderId="3" xfId="1" applyFont="1" applyFill="1" applyBorder="1" applyAlignment="1">
      <alignment horizontal="right"/>
    </xf>
    <xf numFmtId="43" fontId="6" fillId="9" borderId="3" xfId="1" applyFont="1" applyFill="1" applyBorder="1" applyAlignment="1"/>
    <xf numFmtId="43" fontId="22" fillId="16" borderId="3" xfId="1" applyFont="1" applyFill="1" applyBorder="1" applyAlignment="1"/>
    <xf numFmtId="43" fontId="6" fillId="9" borderId="0" xfId="1" applyFont="1" applyFill="1" applyAlignment="1"/>
    <xf numFmtId="43" fontId="6" fillId="16" borderId="3" xfId="1" applyFont="1" applyFill="1" applyBorder="1" applyAlignment="1">
      <alignment horizontal="right"/>
    </xf>
    <xf numFmtId="43" fontId="6" fillId="9" borderId="0" xfId="1" applyFont="1" applyFill="1" applyBorder="1" applyAlignment="1"/>
    <xf numFmtId="0" fontId="23" fillId="0" borderId="0" xfId="0" applyFont="1"/>
    <xf numFmtId="0" fontId="6" fillId="5" borderId="3" xfId="7" applyFont="1" applyFill="1" applyBorder="1"/>
    <xf numFmtId="164" fontId="6" fillId="5" borderId="3" xfId="7" applyNumberFormat="1" applyFont="1" applyFill="1" applyBorder="1"/>
    <xf numFmtId="43" fontId="8" fillId="5" borderId="3" xfId="1" applyFont="1" applyFill="1" applyBorder="1" applyAlignment="1">
      <alignment horizontal="right"/>
    </xf>
    <xf numFmtId="43" fontId="8" fillId="5" borderId="0" xfId="1" applyFont="1" applyFill="1" applyBorder="1" applyAlignment="1">
      <alignment horizontal="right"/>
    </xf>
    <xf numFmtId="43" fontId="21" fillId="5" borderId="3" xfId="1" applyFont="1" applyFill="1" applyBorder="1" applyAlignment="1"/>
    <xf numFmtId="43" fontId="21" fillId="5" borderId="0" xfId="1" applyFont="1" applyFill="1" applyAlignment="1"/>
    <xf numFmtId="0" fontId="0" fillId="5" borderId="0" xfId="0" applyFill="1"/>
    <xf numFmtId="43" fontId="8" fillId="6" borderId="0" xfId="1" applyFont="1" applyFill="1" applyBorder="1" applyAlignment="1">
      <alignment horizontal="right"/>
    </xf>
    <xf numFmtId="165" fontId="6" fillId="0" borderId="3" xfId="1" applyNumberFormat="1" applyFont="1" applyFill="1" applyBorder="1" applyAlignment="1"/>
    <xf numFmtId="10" fontId="6" fillId="0" borderId="3" xfId="2" applyNumberFormat="1" applyFont="1" applyFill="1" applyBorder="1" applyAlignment="1"/>
  </cellXfs>
  <cellStyles count="9">
    <cellStyle name="Accent3" xfId="5" builtinId="37"/>
    <cellStyle name="Accent5" xfId="6" builtinId="45"/>
    <cellStyle name="Check Cell" xfId="3" builtinId="23"/>
    <cellStyle name="Comma" xfId="1" builtinId="3"/>
    <cellStyle name="Normal" xfId="0" builtinId="0"/>
    <cellStyle name="Normal_Sheet1 2" xfId="8" xr:uid="{31643ACC-E719-4D97-B701-1640CB8EB292}"/>
    <cellStyle name="Normal_Sheet1_1" xfId="7" xr:uid="{A30869BA-3CAF-4F82-B680-E31759FECC71}"/>
    <cellStyle name="Percent" xfId="2" builtinId="5"/>
    <cellStyle name="Total" xfId="4" builtinId="2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N:\MMR\MHSA%20Reporting\MHSA%20Expenditure%20&amp;%20Revenue%20Reports\FY2122%20ARER\FY2122%20MHSA%20ARER%20Working%20File%20FINAL.xlsm" TargetMode="External"/><Relationship Id="rId1" Type="http://schemas.openxmlformats.org/officeDocument/2006/relationships/externalLinkPath" Target="FY2122%20MHSA%20ARER%20Working%20File%20FINAL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Unspent Summary"/>
      <sheetName val="Prudent Reserve Summary"/>
      <sheetName val="FINAL REV ARER Budcomp 01.30.23"/>
      <sheetName val="PEI Additional BH Screening Amt"/>
      <sheetName val="01-CSS Breakdown for Form Entry"/>
      <sheetName val="02-PEI Breakdown REV 2.9.23"/>
      <sheetName val="02-PEI Breakdown ORIGINAL"/>
      <sheetName val="03-INN Breakdown for Form Entry"/>
      <sheetName val="04-WET Breakdown for Form Entry"/>
      <sheetName val="FY2122 PEI Client Count Suzanna"/>
      <sheetName val="Removed Programs"/>
      <sheetName val="Orig 01.30.23"/>
      <sheetName val="2122 Transfer on Plan Update"/>
      <sheetName val="2122 Veterans Count"/>
      <sheetName val="RU"/>
      <sheetName val="PEI Program Categori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J1" t="str">
            <v>Row Labels</v>
          </cell>
          <cell r="K1" t="str">
            <v>Count of isVet</v>
          </cell>
          <cell r="L1" t="str">
            <v>Sum of isVet2</v>
          </cell>
          <cell r="M1" t="str">
            <v>%</v>
          </cell>
        </row>
        <row r="2">
          <cell r="J2">
            <v>4100202208.7474999</v>
          </cell>
          <cell r="K2">
            <v>55</v>
          </cell>
          <cell r="L2">
            <v>0</v>
          </cell>
          <cell r="M2">
            <v>0</v>
          </cell>
        </row>
        <row r="3">
          <cell r="J3">
            <v>4100202277.7473998</v>
          </cell>
          <cell r="K3">
            <v>67</v>
          </cell>
          <cell r="L3">
            <v>0</v>
          </cell>
          <cell r="M3">
            <v>0</v>
          </cell>
        </row>
        <row r="4">
          <cell r="J4">
            <v>4100202294.7470002</v>
          </cell>
          <cell r="K4">
            <v>554</v>
          </cell>
          <cell r="L4">
            <v>11</v>
          </cell>
          <cell r="M4">
            <v>1.9855595667870037E-2</v>
          </cell>
        </row>
        <row r="5">
          <cell r="J5">
            <v>4100202294.8354998</v>
          </cell>
          <cell r="K5">
            <v>218</v>
          </cell>
          <cell r="L5">
            <v>3</v>
          </cell>
          <cell r="M5">
            <v>1.3761467889908258E-2</v>
          </cell>
        </row>
        <row r="6">
          <cell r="J6">
            <v>4100202515.7470002</v>
          </cell>
          <cell r="K6">
            <v>164</v>
          </cell>
          <cell r="L6">
            <v>3</v>
          </cell>
          <cell r="M6">
            <v>1.8292682926829267E-2</v>
          </cell>
        </row>
        <row r="7">
          <cell r="J7">
            <v>4100202522.7474999</v>
          </cell>
          <cell r="K7">
            <v>169</v>
          </cell>
          <cell r="L7">
            <v>5</v>
          </cell>
          <cell r="M7">
            <v>2.9585798816568046E-2</v>
          </cell>
        </row>
        <row r="8">
          <cell r="J8">
            <v>4100202604.7470002</v>
          </cell>
          <cell r="K8">
            <v>1158</v>
          </cell>
          <cell r="L8">
            <v>20</v>
          </cell>
          <cell r="M8">
            <v>1.7271157167530225E-2</v>
          </cell>
        </row>
        <row r="9">
          <cell r="J9">
            <v>4100202604.7474999</v>
          </cell>
          <cell r="K9">
            <v>9</v>
          </cell>
          <cell r="L9">
            <v>0</v>
          </cell>
          <cell r="M9">
            <v>0</v>
          </cell>
        </row>
        <row r="10">
          <cell r="J10">
            <v>4100202605.7474999</v>
          </cell>
          <cell r="K10">
            <v>4</v>
          </cell>
          <cell r="L10">
            <v>0</v>
          </cell>
          <cell r="M10">
            <v>0</v>
          </cell>
        </row>
        <row r="11">
          <cell r="J11">
            <v>4100202609.7470002</v>
          </cell>
          <cell r="K11">
            <v>264</v>
          </cell>
          <cell r="L11">
            <v>5</v>
          </cell>
          <cell r="M11">
            <v>1.893939393939394E-2</v>
          </cell>
        </row>
        <row r="12">
          <cell r="J12">
            <v>4100202609.7474999</v>
          </cell>
          <cell r="K12">
            <v>7</v>
          </cell>
          <cell r="L12">
            <v>0</v>
          </cell>
          <cell r="M12">
            <v>0</v>
          </cell>
        </row>
        <row r="13">
          <cell r="J13">
            <v>4100202610.7470002</v>
          </cell>
          <cell r="K13">
            <v>472</v>
          </cell>
          <cell r="L13">
            <v>4</v>
          </cell>
          <cell r="M13">
            <v>8.4745762711864406E-3</v>
          </cell>
        </row>
        <row r="14">
          <cell r="J14">
            <v>4100202610.7474999</v>
          </cell>
          <cell r="K14">
            <v>14</v>
          </cell>
          <cell r="L14">
            <v>0</v>
          </cell>
          <cell r="M14">
            <v>0</v>
          </cell>
        </row>
        <row r="15">
          <cell r="J15">
            <v>4100202685.7474999</v>
          </cell>
          <cell r="K15">
            <v>7</v>
          </cell>
          <cell r="L15">
            <v>0</v>
          </cell>
          <cell r="M15">
            <v>0</v>
          </cell>
        </row>
        <row r="16">
          <cell r="J16">
            <v>4100202787.7470999</v>
          </cell>
          <cell r="K16">
            <v>76</v>
          </cell>
          <cell r="L16">
            <v>0</v>
          </cell>
          <cell r="M16">
            <v>0</v>
          </cell>
        </row>
        <row r="17">
          <cell r="J17">
            <v>4100202787.7474999</v>
          </cell>
          <cell r="K17">
            <v>13</v>
          </cell>
          <cell r="L17">
            <v>0</v>
          </cell>
          <cell r="M17">
            <v>0</v>
          </cell>
        </row>
        <row r="18">
          <cell r="J18">
            <v>4100202804.8354998</v>
          </cell>
          <cell r="K18">
            <v>1</v>
          </cell>
          <cell r="L18">
            <v>0</v>
          </cell>
          <cell r="M18">
            <v>0</v>
          </cell>
        </row>
        <row r="19">
          <cell r="J19">
            <v>4100202808.7474999</v>
          </cell>
          <cell r="K19">
            <v>4</v>
          </cell>
          <cell r="L19">
            <v>1</v>
          </cell>
          <cell r="M19">
            <v>0.25</v>
          </cell>
        </row>
        <row r="20">
          <cell r="J20">
            <v>4100202817.7470002</v>
          </cell>
          <cell r="K20">
            <v>35</v>
          </cell>
          <cell r="L20">
            <v>1</v>
          </cell>
          <cell r="M20">
            <v>2.8571428571428571E-2</v>
          </cell>
        </row>
        <row r="21">
          <cell r="J21">
            <v>4100202818.7470002</v>
          </cell>
          <cell r="K21">
            <v>217</v>
          </cell>
          <cell r="L21">
            <v>3</v>
          </cell>
          <cell r="M21">
            <v>1.3824884792626729E-2</v>
          </cell>
        </row>
        <row r="22">
          <cell r="J22">
            <v>4100202822.7474999</v>
          </cell>
          <cell r="K22">
            <v>94</v>
          </cell>
          <cell r="L22">
            <v>5</v>
          </cell>
          <cell r="M22">
            <v>5.3191489361702128E-2</v>
          </cell>
        </row>
        <row r="23">
          <cell r="J23">
            <v>4100202973.7474999</v>
          </cell>
          <cell r="K23">
            <v>5</v>
          </cell>
          <cell r="L23">
            <v>0</v>
          </cell>
          <cell r="M23">
            <v>0</v>
          </cell>
        </row>
        <row r="24">
          <cell r="J24">
            <v>4100203169.7473998</v>
          </cell>
          <cell r="K24">
            <v>127</v>
          </cell>
          <cell r="L24">
            <v>0</v>
          </cell>
          <cell r="M24">
            <v>0</v>
          </cell>
        </row>
        <row r="25">
          <cell r="J25">
            <v>4100203169.7474999</v>
          </cell>
          <cell r="K25">
            <v>12</v>
          </cell>
          <cell r="L25">
            <v>0</v>
          </cell>
          <cell r="M25">
            <v>0</v>
          </cell>
        </row>
        <row r="26">
          <cell r="J26">
            <v>4100203210.7474999</v>
          </cell>
          <cell r="K26">
            <v>133</v>
          </cell>
          <cell r="L26">
            <v>0</v>
          </cell>
          <cell r="M26">
            <v>0</v>
          </cell>
        </row>
        <row r="27">
          <cell r="J27">
            <v>4100203503.7473998</v>
          </cell>
          <cell r="K27">
            <v>86</v>
          </cell>
          <cell r="L27">
            <v>1</v>
          </cell>
          <cell r="M27">
            <v>1.1627906976744186E-2</v>
          </cell>
        </row>
        <row r="28">
          <cell r="J28">
            <v>4100203503.7474999</v>
          </cell>
          <cell r="K28">
            <v>6</v>
          </cell>
          <cell r="L28">
            <v>0</v>
          </cell>
          <cell r="M28">
            <v>0</v>
          </cell>
        </row>
        <row r="29">
          <cell r="J29">
            <v>4100203570.7470002</v>
          </cell>
          <cell r="K29">
            <v>386</v>
          </cell>
          <cell r="L29">
            <v>2</v>
          </cell>
          <cell r="M29">
            <v>5.1813471502590676E-3</v>
          </cell>
        </row>
        <row r="30">
          <cell r="J30">
            <v>4100203570.7474999</v>
          </cell>
          <cell r="K30">
            <v>30</v>
          </cell>
          <cell r="L30">
            <v>0</v>
          </cell>
          <cell r="M30">
            <v>0</v>
          </cell>
        </row>
        <row r="31">
          <cell r="J31">
            <v>4100203577.7470002</v>
          </cell>
          <cell r="K31">
            <v>111</v>
          </cell>
          <cell r="L31">
            <v>3</v>
          </cell>
          <cell r="M31">
            <v>2.7027027027027029E-2</v>
          </cell>
        </row>
        <row r="32">
          <cell r="J32">
            <v>4100203577.7474999</v>
          </cell>
          <cell r="K32">
            <v>80</v>
          </cell>
          <cell r="L32">
            <v>2</v>
          </cell>
          <cell r="M32">
            <v>2.5000000000000001E-2</v>
          </cell>
        </row>
        <row r="33">
          <cell r="J33">
            <v>4100203578.7470002</v>
          </cell>
          <cell r="K33">
            <v>122</v>
          </cell>
          <cell r="L33">
            <v>2</v>
          </cell>
          <cell r="M33">
            <v>1.6393442622950821E-2</v>
          </cell>
        </row>
        <row r="34">
          <cell r="J34">
            <v>4100203580.7470002</v>
          </cell>
          <cell r="K34">
            <v>393</v>
          </cell>
          <cell r="L34">
            <v>6</v>
          </cell>
          <cell r="M34">
            <v>1.5267175572519083E-2</v>
          </cell>
        </row>
        <row r="35">
          <cell r="J35">
            <v>4100203580.7474999</v>
          </cell>
          <cell r="K35">
            <v>10</v>
          </cell>
          <cell r="L35">
            <v>0</v>
          </cell>
          <cell r="M35">
            <v>0</v>
          </cell>
        </row>
        <row r="36">
          <cell r="J36">
            <v>4100203612.7470002</v>
          </cell>
          <cell r="K36">
            <v>1270</v>
          </cell>
          <cell r="L36">
            <v>20</v>
          </cell>
          <cell r="M36">
            <v>1.5748031496062992E-2</v>
          </cell>
        </row>
        <row r="37">
          <cell r="J37">
            <v>4100203612.7474999</v>
          </cell>
          <cell r="K37">
            <v>69</v>
          </cell>
          <cell r="L37">
            <v>3</v>
          </cell>
          <cell r="M37">
            <v>4.3478260869565216E-2</v>
          </cell>
        </row>
        <row r="38">
          <cell r="J38">
            <v>4100203615.7470002</v>
          </cell>
          <cell r="K38">
            <v>621</v>
          </cell>
          <cell r="L38">
            <v>1</v>
          </cell>
          <cell r="M38">
            <v>1.6103059581320451E-3</v>
          </cell>
        </row>
        <row r="39">
          <cell r="J39">
            <v>4100203615.7474999</v>
          </cell>
          <cell r="K39">
            <v>47</v>
          </cell>
          <cell r="L39">
            <v>0</v>
          </cell>
          <cell r="M39">
            <v>0</v>
          </cell>
        </row>
        <row r="40">
          <cell r="J40">
            <v>4100203616.7473998</v>
          </cell>
          <cell r="K40">
            <v>98</v>
          </cell>
          <cell r="L40">
            <v>0</v>
          </cell>
          <cell r="M40">
            <v>0</v>
          </cell>
        </row>
        <row r="41">
          <cell r="J41">
            <v>4100203616.7474999</v>
          </cell>
          <cell r="K41">
            <v>11</v>
          </cell>
          <cell r="L41">
            <v>0</v>
          </cell>
          <cell r="M41">
            <v>0</v>
          </cell>
        </row>
        <row r="42">
          <cell r="J42">
            <v>4100203617.7473998</v>
          </cell>
          <cell r="K42">
            <v>76</v>
          </cell>
          <cell r="L42">
            <v>0</v>
          </cell>
          <cell r="M42">
            <v>0</v>
          </cell>
        </row>
        <row r="43">
          <cell r="J43">
            <v>4100203617.7474999</v>
          </cell>
          <cell r="K43">
            <v>5</v>
          </cell>
          <cell r="L43">
            <v>0</v>
          </cell>
          <cell r="M43">
            <v>0</v>
          </cell>
        </row>
        <row r="44">
          <cell r="J44">
            <v>4100203731.7474999</v>
          </cell>
          <cell r="K44">
            <v>13</v>
          </cell>
          <cell r="L44">
            <v>0</v>
          </cell>
          <cell r="M44">
            <v>0</v>
          </cell>
        </row>
        <row r="45">
          <cell r="J45">
            <v>4100203785.7470999</v>
          </cell>
          <cell r="K45">
            <v>70</v>
          </cell>
          <cell r="L45">
            <v>0</v>
          </cell>
          <cell r="M45">
            <v>0</v>
          </cell>
        </row>
        <row r="46">
          <cell r="J46">
            <v>4100203785.7474999</v>
          </cell>
          <cell r="K46">
            <v>49</v>
          </cell>
          <cell r="L46">
            <v>0</v>
          </cell>
          <cell r="M46">
            <v>0</v>
          </cell>
        </row>
        <row r="47">
          <cell r="J47">
            <v>4100203790.7474999</v>
          </cell>
          <cell r="K47">
            <v>8</v>
          </cell>
          <cell r="L47">
            <v>0</v>
          </cell>
          <cell r="M47">
            <v>0</v>
          </cell>
        </row>
        <row r="48">
          <cell r="J48">
            <v>4100203809.7474999</v>
          </cell>
          <cell r="K48">
            <v>3</v>
          </cell>
          <cell r="L48">
            <v>0</v>
          </cell>
          <cell r="M48">
            <v>0</v>
          </cell>
        </row>
        <row r="49">
          <cell r="J49">
            <v>4100203819.7470002</v>
          </cell>
          <cell r="K49">
            <v>404</v>
          </cell>
          <cell r="L49">
            <v>10</v>
          </cell>
          <cell r="M49">
            <v>2.4752475247524754E-2</v>
          </cell>
        </row>
        <row r="50">
          <cell r="J50">
            <v>4100203823.7474999</v>
          </cell>
          <cell r="K50">
            <v>104</v>
          </cell>
          <cell r="L50">
            <v>9</v>
          </cell>
          <cell r="M50">
            <v>8.6538461538461536E-2</v>
          </cell>
        </row>
        <row r="51">
          <cell r="J51">
            <v>4100203928.7470999</v>
          </cell>
          <cell r="K51">
            <v>2</v>
          </cell>
          <cell r="L51">
            <v>0</v>
          </cell>
          <cell r="M51">
            <v>0</v>
          </cell>
        </row>
        <row r="52">
          <cell r="J52">
            <v>4100203972.7473998</v>
          </cell>
          <cell r="K52">
            <v>9</v>
          </cell>
          <cell r="L52">
            <v>0</v>
          </cell>
          <cell r="M52">
            <v>0</v>
          </cell>
        </row>
        <row r="53">
          <cell r="J53">
            <v>4100204512.7470002</v>
          </cell>
          <cell r="K53">
            <v>469</v>
          </cell>
          <cell r="L53">
            <v>4</v>
          </cell>
          <cell r="M53">
            <v>8.5287846481876331E-3</v>
          </cell>
        </row>
        <row r="54">
          <cell r="J54">
            <v>4100204512.7474999</v>
          </cell>
          <cell r="K54">
            <v>31</v>
          </cell>
          <cell r="L54">
            <v>0</v>
          </cell>
          <cell r="M54">
            <v>0</v>
          </cell>
        </row>
        <row r="55">
          <cell r="J55">
            <v>4100204516.7470002</v>
          </cell>
          <cell r="K55">
            <v>436</v>
          </cell>
          <cell r="L55">
            <v>18</v>
          </cell>
          <cell r="M55">
            <v>4.1284403669724773E-2</v>
          </cell>
        </row>
        <row r="56">
          <cell r="J56">
            <v>4100204620.7470002</v>
          </cell>
          <cell r="K56">
            <v>1512</v>
          </cell>
          <cell r="L56">
            <v>17</v>
          </cell>
          <cell r="M56">
            <v>1.1243386243386243E-2</v>
          </cell>
        </row>
        <row r="57">
          <cell r="J57">
            <v>4100204620.7474999</v>
          </cell>
          <cell r="K57">
            <v>35</v>
          </cell>
          <cell r="L57">
            <v>2</v>
          </cell>
          <cell r="M57">
            <v>5.7142857142857141E-2</v>
          </cell>
        </row>
        <row r="58">
          <cell r="J58">
            <v>4100204624.7470002</v>
          </cell>
          <cell r="K58">
            <v>53</v>
          </cell>
          <cell r="L58">
            <v>1</v>
          </cell>
          <cell r="M58">
            <v>1.8867924528301886E-2</v>
          </cell>
        </row>
        <row r="59">
          <cell r="J59">
            <v>4100204627.7474999</v>
          </cell>
          <cell r="K59">
            <v>1</v>
          </cell>
          <cell r="L59">
            <v>0</v>
          </cell>
          <cell r="M59">
            <v>0</v>
          </cell>
        </row>
        <row r="60">
          <cell r="J60">
            <v>4100204733.7470002</v>
          </cell>
          <cell r="K60">
            <v>12</v>
          </cell>
          <cell r="L60">
            <v>0</v>
          </cell>
          <cell r="M60">
            <v>0</v>
          </cell>
        </row>
        <row r="61">
          <cell r="J61">
            <v>4100204820.7474999</v>
          </cell>
          <cell r="K61">
            <v>176</v>
          </cell>
          <cell r="L61">
            <v>5</v>
          </cell>
          <cell r="M61">
            <v>2.8409090909090908E-2</v>
          </cell>
        </row>
        <row r="62">
          <cell r="J62">
            <v>4100204824.7472</v>
          </cell>
          <cell r="K62">
            <v>9</v>
          </cell>
          <cell r="L62">
            <v>0</v>
          </cell>
          <cell r="M62">
            <v>0</v>
          </cell>
        </row>
        <row r="63">
          <cell r="J63">
            <v>4100204824.7474999</v>
          </cell>
          <cell r="K63">
            <v>122</v>
          </cell>
          <cell r="L63">
            <v>6</v>
          </cell>
          <cell r="M63">
            <v>4.9180327868852458E-2</v>
          </cell>
        </row>
        <row r="64">
          <cell r="J64">
            <v>4100205180.7473998</v>
          </cell>
          <cell r="K64">
            <v>3</v>
          </cell>
          <cell r="L64">
            <v>0</v>
          </cell>
          <cell r="M64">
            <v>0</v>
          </cell>
        </row>
        <row r="65">
          <cell r="J65">
            <v>4100205209.7473998</v>
          </cell>
          <cell r="K65">
            <v>121</v>
          </cell>
          <cell r="L65">
            <v>0</v>
          </cell>
          <cell r="M65">
            <v>0</v>
          </cell>
        </row>
        <row r="66">
          <cell r="J66">
            <v>4100205571.7473998</v>
          </cell>
          <cell r="K66">
            <v>73</v>
          </cell>
          <cell r="L66">
            <v>0</v>
          </cell>
          <cell r="M66">
            <v>0</v>
          </cell>
        </row>
        <row r="67">
          <cell r="J67">
            <v>4100205571.7474999</v>
          </cell>
          <cell r="K67">
            <v>7</v>
          </cell>
          <cell r="L67">
            <v>0</v>
          </cell>
          <cell r="M67">
            <v>0</v>
          </cell>
        </row>
        <row r="68">
          <cell r="J68">
            <v>4100205629.7474999</v>
          </cell>
          <cell r="K68">
            <v>6</v>
          </cell>
          <cell r="L68">
            <v>0</v>
          </cell>
          <cell r="M68">
            <v>0</v>
          </cell>
        </row>
        <row r="69">
          <cell r="J69">
            <v>4100205630.7473998</v>
          </cell>
          <cell r="K69">
            <v>65</v>
          </cell>
          <cell r="L69">
            <v>0</v>
          </cell>
          <cell r="M69">
            <v>0</v>
          </cell>
        </row>
        <row r="70">
          <cell r="J70">
            <v>4100205630.7474999</v>
          </cell>
          <cell r="K70">
            <v>1</v>
          </cell>
          <cell r="L70">
            <v>0</v>
          </cell>
          <cell r="M70">
            <v>0</v>
          </cell>
        </row>
        <row r="71">
          <cell r="J71">
            <v>4100205632.7473998</v>
          </cell>
          <cell r="K71">
            <v>173</v>
          </cell>
          <cell r="L71">
            <v>0</v>
          </cell>
          <cell r="M71">
            <v>0</v>
          </cell>
        </row>
        <row r="72">
          <cell r="J72">
            <v>4100205632.7474999</v>
          </cell>
          <cell r="K72">
            <v>19</v>
          </cell>
          <cell r="L72">
            <v>0</v>
          </cell>
          <cell r="M72">
            <v>0</v>
          </cell>
        </row>
        <row r="73">
          <cell r="J73">
            <v>4100205689.7474999</v>
          </cell>
          <cell r="K73">
            <v>7</v>
          </cell>
          <cell r="L73">
            <v>0</v>
          </cell>
          <cell r="M73">
            <v>0</v>
          </cell>
        </row>
        <row r="74">
          <cell r="J74">
            <v>4100205788.7474999</v>
          </cell>
          <cell r="K74">
            <v>5</v>
          </cell>
          <cell r="L74">
            <v>0</v>
          </cell>
          <cell r="M74">
            <v>0</v>
          </cell>
        </row>
        <row r="75">
          <cell r="J75">
            <v>4100206016.8354998</v>
          </cell>
          <cell r="K75">
            <v>2377</v>
          </cell>
          <cell r="L75">
            <v>66</v>
          </cell>
          <cell r="M75">
            <v>2.7766091712242324E-2</v>
          </cell>
        </row>
        <row r="76">
          <cell r="J76">
            <v>4100206026.8354998</v>
          </cell>
          <cell r="K76">
            <v>11</v>
          </cell>
          <cell r="L76">
            <v>1</v>
          </cell>
          <cell r="M76">
            <v>9.0909090909090912E-2</v>
          </cell>
        </row>
        <row r="77">
          <cell r="J77">
            <v>4100206027.8354998</v>
          </cell>
          <cell r="K77">
            <v>27</v>
          </cell>
          <cell r="L77">
            <v>1</v>
          </cell>
          <cell r="M77">
            <v>3.7037037037037035E-2</v>
          </cell>
        </row>
        <row r="78">
          <cell r="J78">
            <v>4100206201.8354998</v>
          </cell>
          <cell r="K78">
            <v>1</v>
          </cell>
          <cell r="L78">
            <v>0</v>
          </cell>
          <cell r="M78">
            <v>0</v>
          </cell>
        </row>
        <row r="79">
          <cell r="J79">
            <v>4100206335.7470002</v>
          </cell>
          <cell r="K79">
            <v>58</v>
          </cell>
          <cell r="L79">
            <v>0</v>
          </cell>
          <cell r="M79">
            <v>0</v>
          </cell>
        </row>
        <row r="80">
          <cell r="J80">
            <v>4100206349.7470002</v>
          </cell>
          <cell r="K80">
            <v>418</v>
          </cell>
          <cell r="L80">
            <v>4</v>
          </cell>
          <cell r="M80">
            <v>9.5693779904306216E-3</v>
          </cell>
        </row>
        <row r="81">
          <cell r="J81">
            <v>4100206634.7474999</v>
          </cell>
          <cell r="K81">
            <v>2379</v>
          </cell>
          <cell r="L81">
            <v>66</v>
          </cell>
          <cell r="M81">
            <v>2.7742749054224466E-2</v>
          </cell>
        </row>
        <row r="82">
          <cell r="J82">
            <v>4100206634.8354998</v>
          </cell>
          <cell r="K82">
            <v>3</v>
          </cell>
          <cell r="L82">
            <v>0</v>
          </cell>
          <cell r="M82">
            <v>0</v>
          </cell>
        </row>
        <row r="83">
          <cell r="J83">
            <v>4100206684.7474999</v>
          </cell>
          <cell r="K83">
            <v>1</v>
          </cell>
          <cell r="L83">
            <v>0</v>
          </cell>
          <cell r="M83">
            <v>0</v>
          </cell>
        </row>
        <row r="84">
          <cell r="J84">
            <v>4100206715.7474999</v>
          </cell>
          <cell r="K84">
            <v>1</v>
          </cell>
          <cell r="L84">
            <v>0</v>
          </cell>
          <cell r="M84">
            <v>0</v>
          </cell>
        </row>
        <row r="85">
          <cell r="J85">
            <v>4100206736.7474999</v>
          </cell>
          <cell r="K85">
            <v>167</v>
          </cell>
          <cell r="L85">
            <v>2</v>
          </cell>
          <cell r="M85">
            <v>1.1976047904191617E-2</v>
          </cell>
        </row>
        <row r="86">
          <cell r="J86">
            <v>4100206742.8354998</v>
          </cell>
          <cell r="K86">
            <v>313</v>
          </cell>
          <cell r="L86">
            <v>12</v>
          </cell>
          <cell r="M86">
            <v>3.8338658146964855E-2</v>
          </cell>
        </row>
        <row r="87">
          <cell r="J87">
            <v>4100206936.7472</v>
          </cell>
          <cell r="K87">
            <v>6</v>
          </cell>
          <cell r="L87">
            <v>0</v>
          </cell>
          <cell r="M87">
            <v>0</v>
          </cell>
        </row>
        <row r="88">
          <cell r="J88">
            <v>4100206942.7474999</v>
          </cell>
          <cell r="K88">
            <v>26</v>
          </cell>
          <cell r="L88">
            <v>1</v>
          </cell>
          <cell r="M88">
            <v>3.8461538461538464E-2</v>
          </cell>
        </row>
        <row r="89">
          <cell r="J89">
            <v>4100206969.7470002</v>
          </cell>
          <cell r="K89">
            <v>30</v>
          </cell>
          <cell r="L89">
            <v>2</v>
          </cell>
          <cell r="M89">
            <v>6.6666666666666666E-2</v>
          </cell>
        </row>
        <row r="90">
          <cell r="J90">
            <v>4100206977.7473998</v>
          </cell>
          <cell r="K90">
            <v>1</v>
          </cell>
          <cell r="L90">
            <v>0</v>
          </cell>
          <cell r="M90">
            <v>0</v>
          </cell>
        </row>
        <row r="91">
          <cell r="J91">
            <v>4100206995.7474999</v>
          </cell>
          <cell r="K91">
            <v>19</v>
          </cell>
          <cell r="L91">
            <v>1</v>
          </cell>
          <cell r="M91">
            <v>5.2631578947368418E-2</v>
          </cell>
        </row>
        <row r="92">
          <cell r="J92">
            <v>4100206996.7474999</v>
          </cell>
          <cell r="K92">
            <v>4</v>
          </cell>
          <cell r="L92">
            <v>0</v>
          </cell>
          <cell r="M92">
            <v>0</v>
          </cell>
        </row>
        <row r="93">
          <cell r="J93">
            <v>4100206997.7474999</v>
          </cell>
          <cell r="K93">
            <v>11</v>
          </cell>
          <cell r="L93">
            <v>0</v>
          </cell>
          <cell r="M93">
            <v>0</v>
          </cell>
        </row>
        <row r="94">
          <cell r="J94">
            <v>4100207085.7473998</v>
          </cell>
          <cell r="K94">
            <v>7</v>
          </cell>
          <cell r="L94">
            <v>0</v>
          </cell>
          <cell r="M94">
            <v>0</v>
          </cell>
        </row>
        <row r="95">
          <cell r="J95">
            <v>4100207096.7473998</v>
          </cell>
          <cell r="K95">
            <v>92</v>
          </cell>
          <cell r="L95">
            <v>0</v>
          </cell>
          <cell r="M95">
            <v>0</v>
          </cell>
        </row>
        <row r="96">
          <cell r="J96">
            <v>4100207148.7473998</v>
          </cell>
          <cell r="K96">
            <v>3</v>
          </cell>
          <cell r="L96">
            <v>0</v>
          </cell>
          <cell r="M96">
            <v>0</v>
          </cell>
        </row>
        <row r="97">
          <cell r="J97">
            <v>4100207156.7473998</v>
          </cell>
          <cell r="K97">
            <v>72</v>
          </cell>
          <cell r="L97">
            <v>0</v>
          </cell>
          <cell r="M97">
            <v>0</v>
          </cell>
        </row>
        <row r="98">
          <cell r="J98">
            <v>4100207213.7473998</v>
          </cell>
          <cell r="K98">
            <v>167</v>
          </cell>
          <cell r="L98">
            <v>0</v>
          </cell>
          <cell r="M98">
            <v>0</v>
          </cell>
        </row>
        <row r="99">
          <cell r="J99">
            <v>4100207238.7473998</v>
          </cell>
          <cell r="K99">
            <v>9</v>
          </cell>
          <cell r="L99">
            <v>0</v>
          </cell>
          <cell r="M99">
            <v>0</v>
          </cell>
        </row>
        <row r="100">
          <cell r="J100">
            <v>4100207246.7473998</v>
          </cell>
          <cell r="K100">
            <v>92</v>
          </cell>
          <cell r="L100">
            <v>0</v>
          </cell>
          <cell r="M100">
            <v>0</v>
          </cell>
        </row>
        <row r="101">
          <cell r="J101">
            <v>4100207256.7473998</v>
          </cell>
          <cell r="K101">
            <v>9</v>
          </cell>
          <cell r="L101">
            <v>0</v>
          </cell>
          <cell r="M101">
            <v>0</v>
          </cell>
        </row>
        <row r="102">
          <cell r="J102">
            <v>4100207295.7473998</v>
          </cell>
          <cell r="K102">
            <v>2</v>
          </cell>
          <cell r="L102">
            <v>0</v>
          </cell>
          <cell r="M102">
            <v>0</v>
          </cell>
        </row>
        <row r="103">
          <cell r="J103">
            <v>4100207296.7473998</v>
          </cell>
          <cell r="K103">
            <v>7</v>
          </cell>
          <cell r="L103">
            <v>0</v>
          </cell>
          <cell r="M103">
            <v>0</v>
          </cell>
        </row>
        <row r="104">
          <cell r="J104">
            <v>4100207298.7473998</v>
          </cell>
          <cell r="K104">
            <v>3</v>
          </cell>
          <cell r="L104">
            <v>0</v>
          </cell>
          <cell r="M104">
            <v>0</v>
          </cell>
        </row>
        <row r="105">
          <cell r="J105">
            <v>4100207299.7473998</v>
          </cell>
          <cell r="K105">
            <v>2</v>
          </cell>
          <cell r="L105">
            <v>0</v>
          </cell>
          <cell r="M105">
            <v>0</v>
          </cell>
        </row>
        <row r="106">
          <cell r="J106">
            <v>4100207352.7473998</v>
          </cell>
          <cell r="K106">
            <v>29</v>
          </cell>
          <cell r="L106">
            <v>1</v>
          </cell>
          <cell r="M106">
            <v>3.4482758620689655E-2</v>
          </cell>
        </row>
        <row r="107">
          <cell r="J107">
            <v>4100207363.7473998</v>
          </cell>
          <cell r="K107">
            <v>11</v>
          </cell>
          <cell r="L107">
            <v>0</v>
          </cell>
          <cell r="M107">
            <v>0</v>
          </cell>
        </row>
        <row r="108">
          <cell r="J108">
            <v>4100207371.7473998</v>
          </cell>
          <cell r="K108">
            <v>13</v>
          </cell>
          <cell r="L108">
            <v>0</v>
          </cell>
          <cell r="M108">
            <v>0</v>
          </cell>
        </row>
        <row r="109">
          <cell r="J109">
            <v>4100207373.7473998</v>
          </cell>
          <cell r="K109">
            <v>3</v>
          </cell>
          <cell r="L109">
            <v>0</v>
          </cell>
          <cell r="M109">
            <v>0</v>
          </cell>
        </row>
        <row r="110">
          <cell r="J110">
            <v>4100207377.7473998</v>
          </cell>
          <cell r="K110">
            <v>2</v>
          </cell>
          <cell r="L110">
            <v>0</v>
          </cell>
          <cell r="M110">
            <v>0</v>
          </cell>
        </row>
        <row r="111">
          <cell r="J111">
            <v>4100207502.7474999</v>
          </cell>
          <cell r="K111">
            <v>2</v>
          </cell>
          <cell r="L111">
            <v>0</v>
          </cell>
          <cell r="M111">
            <v>0</v>
          </cell>
        </row>
        <row r="112">
          <cell r="J112">
            <v>4100207544.7472</v>
          </cell>
          <cell r="K112">
            <v>3</v>
          </cell>
          <cell r="L112">
            <v>0</v>
          </cell>
          <cell r="M112">
            <v>0</v>
          </cell>
        </row>
        <row r="113">
          <cell r="J113">
            <v>4100207573.8354998</v>
          </cell>
          <cell r="K113">
            <v>39</v>
          </cell>
          <cell r="L113">
            <v>0</v>
          </cell>
          <cell r="M113">
            <v>0</v>
          </cell>
        </row>
        <row r="114">
          <cell r="J114">
            <v>4100207641.7473998</v>
          </cell>
          <cell r="K114">
            <v>14</v>
          </cell>
          <cell r="L114">
            <v>0</v>
          </cell>
          <cell r="M114">
            <v>0</v>
          </cell>
        </row>
        <row r="115">
          <cell r="J115">
            <v>4100207697.7472</v>
          </cell>
          <cell r="K115">
            <v>9</v>
          </cell>
          <cell r="L115">
            <v>0</v>
          </cell>
          <cell r="M115">
            <v>0</v>
          </cell>
        </row>
        <row r="116">
          <cell r="J116">
            <v>4100207717.7473998</v>
          </cell>
          <cell r="K116">
            <v>30</v>
          </cell>
          <cell r="L116">
            <v>0</v>
          </cell>
          <cell r="M116">
            <v>0</v>
          </cell>
        </row>
        <row r="117">
          <cell r="J117">
            <v>4100207821.7474999</v>
          </cell>
          <cell r="K117">
            <v>65</v>
          </cell>
          <cell r="L117">
            <v>1</v>
          </cell>
          <cell r="M117">
            <v>1.5384615384615385E-2</v>
          </cell>
        </row>
        <row r="118">
          <cell r="J118">
            <v>4100208038.8395</v>
          </cell>
          <cell r="K118">
            <v>2</v>
          </cell>
          <cell r="L118">
            <v>0</v>
          </cell>
          <cell r="M118">
            <v>0</v>
          </cell>
        </row>
        <row r="119">
          <cell r="J119">
            <v>4100208057.8395</v>
          </cell>
          <cell r="K119">
            <v>161</v>
          </cell>
          <cell r="L119">
            <v>0</v>
          </cell>
          <cell r="M119">
            <v>0</v>
          </cell>
        </row>
        <row r="120">
          <cell r="J120">
            <v>4100208062.8395</v>
          </cell>
          <cell r="K120">
            <v>21</v>
          </cell>
          <cell r="L120">
            <v>0</v>
          </cell>
          <cell r="M120">
            <v>0</v>
          </cell>
        </row>
        <row r="121">
          <cell r="J121">
            <v>4100208065.8395</v>
          </cell>
          <cell r="K121">
            <v>1</v>
          </cell>
          <cell r="L121">
            <v>0</v>
          </cell>
          <cell r="M121">
            <v>0</v>
          </cell>
        </row>
        <row r="122">
          <cell r="J122">
            <v>4100208066.8395</v>
          </cell>
          <cell r="K122">
            <v>38</v>
          </cell>
          <cell r="L122">
            <v>0</v>
          </cell>
          <cell r="M122">
            <v>0</v>
          </cell>
        </row>
        <row r="123">
          <cell r="J123">
            <v>4100208074.8395</v>
          </cell>
          <cell r="K123">
            <v>1</v>
          </cell>
          <cell r="L123">
            <v>0</v>
          </cell>
          <cell r="M123">
            <v>0</v>
          </cell>
        </row>
        <row r="124">
          <cell r="J124">
            <v>4100208087.8395</v>
          </cell>
          <cell r="K124">
            <v>65</v>
          </cell>
          <cell r="L124">
            <v>0</v>
          </cell>
          <cell r="M124">
            <v>0</v>
          </cell>
        </row>
        <row r="125">
          <cell r="J125">
            <v>4100208087.8400002</v>
          </cell>
          <cell r="K125">
            <v>5</v>
          </cell>
          <cell r="L125">
            <v>0</v>
          </cell>
          <cell r="M125">
            <v>0</v>
          </cell>
        </row>
        <row r="126">
          <cell r="J126">
            <v>4100208090.8395</v>
          </cell>
          <cell r="K126">
            <v>560</v>
          </cell>
          <cell r="L126">
            <v>18</v>
          </cell>
          <cell r="M126">
            <v>3.214285714285714E-2</v>
          </cell>
        </row>
        <row r="127">
          <cell r="J127">
            <v>4100208091.8395</v>
          </cell>
          <cell r="K127">
            <v>355</v>
          </cell>
          <cell r="L127">
            <v>2</v>
          </cell>
          <cell r="M127">
            <v>5.6338028169014088E-3</v>
          </cell>
        </row>
        <row r="128">
          <cell r="J128">
            <v>4100208091.8400002</v>
          </cell>
          <cell r="K128">
            <v>192</v>
          </cell>
          <cell r="L128">
            <v>1</v>
          </cell>
          <cell r="M128">
            <v>5.208333333333333E-3</v>
          </cell>
        </row>
        <row r="129">
          <cell r="J129">
            <v>4100208092.8395</v>
          </cell>
          <cell r="K129">
            <v>992</v>
          </cell>
          <cell r="L129">
            <v>7</v>
          </cell>
          <cell r="M129">
            <v>7.0564516129032256E-3</v>
          </cell>
        </row>
        <row r="130">
          <cell r="J130">
            <v>4100208092.8400002</v>
          </cell>
          <cell r="K130">
            <v>107</v>
          </cell>
          <cell r="L130">
            <v>1</v>
          </cell>
          <cell r="M130">
            <v>9.3457943925233638E-3</v>
          </cell>
        </row>
        <row r="131">
          <cell r="J131">
            <v>4100208093.8395</v>
          </cell>
          <cell r="K131">
            <v>1017</v>
          </cell>
          <cell r="L131">
            <v>3</v>
          </cell>
          <cell r="M131">
            <v>2.9498525073746312E-3</v>
          </cell>
        </row>
        <row r="132">
          <cell r="J132">
            <v>4100208093.8400002</v>
          </cell>
          <cell r="K132">
            <v>195</v>
          </cell>
          <cell r="L132">
            <v>0</v>
          </cell>
          <cell r="M132">
            <v>0</v>
          </cell>
        </row>
        <row r="133">
          <cell r="J133">
            <v>4100208094.8395</v>
          </cell>
          <cell r="K133">
            <v>1066</v>
          </cell>
          <cell r="L133">
            <v>10</v>
          </cell>
          <cell r="M133">
            <v>9.3808630393996256E-3</v>
          </cell>
        </row>
        <row r="134">
          <cell r="J134">
            <v>4100208094.8400002</v>
          </cell>
          <cell r="K134">
            <v>84</v>
          </cell>
          <cell r="L134">
            <v>0</v>
          </cell>
          <cell r="M134">
            <v>0</v>
          </cell>
        </row>
        <row r="135">
          <cell r="J135">
            <v>4100208181.8395</v>
          </cell>
          <cell r="K135">
            <v>7</v>
          </cell>
          <cell r="L135">
            <v>0</v>
          </cell>
          <cell r="M135">
            <v>0</v>
          </cell>
        </row>
        <row r="136">
          <cell r="J136">
            <v>4100208206.8400002</v>
          </cell>
          <cell r="K136">
            <v>1</v>
          </cell>
          <cell r="L136">
            <v>0</v>
          </cell>
          <cell r="M136">
            <v>0</v>
          </cell>
        </row>
        <row r="137">
          <cell r="J137">
            <v>4100208220.8395</v>
          </cell>
          <cell r="K137">
            <v>195</v>
          </cell>
          <cell r="L137">
            <v>0</v>
          </cell>
          <cell r="M137">
            <v>0</v>
          </cell>
        </row>
        <row r="138">
          <cell r="J138">
            <v>4100208220.8400002</v>
          </cell>
          <cell r="K138">
            <v>53</v>
          </cell>
          <cell r="L138">
            <v>0</v>
          </cell>
          <cell r="M138">
            <v>0</v>
          </cell>
        </row>
        <row r="139">
          <cell r="J139">
            <v>4100208277.8395</v>
          </cell>
          <cell r="K139">
            <v>13</v>
          </cell>
          <cell r="L139">
            <v>0</v>
          </cell>
          <cell r="M139">
            <v>0</v>
          </cell>
        </row>
        <row r="140">
          <cell r="J140">
            <v>4100208277.8400002</v>
          </cell>
          <cell r="K140">
            <v>1</v>
          </cell>
          <cell r="L140">
            <v>0</v>
          </cell>
          <cell r="M140">
            <v>0</v>
          </cell>
        </row>
        <row r="141">
          <cell r="J141">
            <v>4100208288.8395</v>
          </cell>
          <cell r="K141">
            <v>424</v>
          </cell>
          <cell r="L141">
            <v>4</v>
          </cell>
          <cell r="M141">
            <v>9.433962264150943E-3</v>
          </cell>
        </row>
        <row r="142">
          <cell r="J142">
            <v>4100208288.8400002</v>
          </cell>
          <cell r="K142">
            <v>82</v>
          </cell>
          <cell r="L142">
            <v>4</v>
          </cell>
          <cell r="M142">
            <v>4.878048780487805E-2</v>
          </cell>
        </row>
        <row r="143">
          <cell r="J143">
            <v>4100208290.8395</v>
          </cell>
          <cell r="K143">
            <v>74</v>
          </cell>
          <cell r="L143">
            <v>1</v>
          </cell>
          <cell r="M143">
            <v>1.3513513513513514E-2</v>
          </cell>
        </row>
        <row r="144">
          <cell r="J144">
            <v>4100208290.8400002</v>
          </cell>
          <cell r="K144">
            <v>11</v>
          </cell>
          <cell r="L144">
            <v>0</v>
          </cell>
          <cell r="M144">
            <v>0</v>
          </cell>
        </row>
        <row r="145">
          <cell r="J145">
            <v>4100208341.8395</v>
          </cell>
          <cell r="K145">
            <v>29</v>
          </cell>
          <cell r="L145">
            <v>0</v>
          </cell>
          <cell r="M145">
            <v>0</v>
          </cell>
        </row>
        <row r="146">
          <cell r="J146">
            <v>4100208365.8395</v>
          </cell>
          <cell r="K146">
            <v>2</v>
          </cell>
          <cell r="L146">
            <v>0</v>
          </cell>
          <cell r="M146">
            <v>0</v>
          </cell>
        </row>
        <row r="147">
          <cell r="J147">
            <v>4100208368.8395</v>
          </cell>
          <cell r="K147">
            <v>1</v>
          </cell>
          <cell r="L147">
            <v>0</v>
          </cell>
          <cell r="M147">
            <v>0</v>
          </cell>
        </row>
        <row r="148">
          <cell r="J148">
            <v>4100208380.8395</v>
          </cell>
          <cell r="K148">
            <v>16</v>
          </cell>
          <cell r="L148">
            <v>0</v>
          </cell>
          <cell r="M148">
            <v>0</v>
          </cell>
        </row>
        <row r="149">
          <cell r="J149">
            <v>4100208381.8395</v>
          </cell>
          <cell r="K149">
            <v>1</v>
          </cell>
          <cell r="L149">
            <v>0</v>
          </cell>
          <cell r="M149">
            <v>0</v>
          </cell>
        </row>
        <row r="150">
          <cell r="J150">
            <v>4100208572.8395</v>
          </cell>
          <cell r="K150">
            <v>5</v>
          </cell>
          <cell r="L150">
            <v>0</v>
          </cell>
          <cell r="M150">
            <v>0</v>
          </cell>
        </row>
        <row r="151">
          <cell r="J151">
            <v>4100208720.8395</v>
          </cell>
          <cell r="K151">
            <v>2</v>
          </cell>
          <cell r="L151">
            <v>0</v>
          </cell>
          <cell r="M151">
            <v>0</v>
          </cell>
        </row>
        <row r="152">
          <cell r="J152">
            <v>4100208744.8395</v>
          </cell>
          <cell r="K152">
            <v>118</v>
          </cell>
          <cell r="L152">
            <v>1</v>
          </cell>
          <cell r="M152">
            <v>8.4745762711864406E-3</v>
          </cell>
        </row>
        <row r="153">
          <cell r="J153">
            <v>4100208744.8400002</v>
          </cell>
          <cell r="K153">
            <v>108</v>
          </cell>
          <cell r="L153">
            <v>2</v>
          </cell>
          <cell r="M153">
            <v>1.8518518518518517E-2</v>
          </cell>
        </row>
        <row r="154">
          <cell r="J154">
            <v>4100208772.8395</v>
          </cell>
          <cell r="K154">
            <v>220</v>
          </cell>
          <cell r="L154">
            <v>0</v>
          </cell>
          <cell r="M154">
            <v>0</v>
          </cell>
        </row>
        <row r="155">
          <cell r="J155">
            <v>4100208772.8400002</v>
          </cell>
          <cell r="K155">
            <v>6</v>
          </cell>
          <cell r="L155">
            <v>0</v>
          </cell>
          <cell r="M155">
            <v>0</v>
          </cell>
        </row>
        <row r="156">
          <cell r="J156">
            <v>4100208791.8395</v>
          </cell>
          <cell r="K156">
            <v>5</v>
          </cell>
          <cell r="L156">
            <v>1</v>
          </cell>
          <cell r="M156">
            <v>0.2</v>
          </cell>
        </row>
        <row r="157">
          <cell r="J157">
            <v>4100208926.8395</v>
          </cell>
          <cell r="K157">
            <v>33</v>
          </cell>
          <cell r="L157">
            <v>0</v>
          </cell>
          <cell r="M157">
            <v>0</v>
          </cell>
        </row>
        <row r="158">
          <cell r="J158">
            <v>4100208927.8395</v>
          </cell>
          <cell r="K158">
            <v>392</v>
          </cell>
          <cell r="L158">
            <v>10</v>
          </cell>
          <cell r="M158">
            <v>2.5510204081632654E-2</v>
          </cell>
        </row>
        <row r="159">
          <cell r="J159">
            <v>4100209183.7470002</v>
          </cell>
          <cell r="K159">
            <v>1</v>
          </cell>
          <cell r="L159">
            <v>0</v>
          </cell>
          <cell r="M159">
            <v>0</v>
          </cell>
        </row>
        <row r="160">
          <cell r="J160">
            <v>4100209282.7470002</v>
          </cell>
          <cell r="K160">
            <v>1</v>
          </cell>
          <cell r="L160">
            <v>0</v>
          </cell>
          <cell r="M160">
            <v>0</v>
          </cell>
        </row>
        <row r="161">
          <cell r="J161">
            <v>4100209514.7472</v>
          </cell>
          <cell r="K161">
            <v>1</v>
          </cell>
          <cell r="L161">
            <v>0</v>
          </cell>
          <cell r="M161">
            <v>0</v>
          </cell>
        </row>
        <row r="162">
          <cell r="J162">
            <v>4100209566.7474999</v>
          </cell>
          <cell r="K162">
            <v>167</v>
          </cell>
          <cell r="L162">
            <v>8</v>
          </cell>
          <cell r="M162">
            <v>4.790419161676647E-2</v>
          </cell>
        </row>
        <row r="163">
          <cell r="J163">
            <v>4100209566.8354998</v>
          </cell>
          <cell r="K163">
            <v>432</v>
          </cell>
          <cell r="L163">
            <v>23</v>
          </cell>
          <cell r="M163">
            <v>5.3240740740740741E-2</v>
          </cell>
        </row>
        <row r="164">
          <cell r="J164">
            <v>4100209636.7470002</v>
          </cell>
          <cell r="K164">
            <v>41</v>
          </cell>
          <cell r="L164">
            <v>4</v>
          </cell>
          <cell r="M164">
            <v>9.7560975609756101E-2</v>
          </cell>
        </row>
        <row r="165">
          <cell r="J165">
            <v>4100209675.7470002</v>
          </cell>
          <cell r="K165">
            <v>1</v>
          </cell>
          <cell r="L165">
            <v>0</v>
          </cell>
          <cell r="M165">
            <v>0</v>
          </cell>
        </row>
        <row r="166">
          <cell r="J166">
            <v>4100209679.7472</v>
          </cell>
          <cell r="K166">
            <v>3</v>
          </cell>
          <cell r="L166">
            <v>0</v>
          </cell>
          <cell r="M166">
            <v>0</v>
          </cell>
        </row>
        <row r="167">
          <cell r="J167">
            <v>4100209740.7470002</v>
          </cell>
          <cell r="K167">
            <v>2</v>
          </cell>
          <cell r="L167">
            <v>0</v>
          </cell>
          <cell r="M167">
            <v>0</v>
          </cell>
        </row>
        <row r="168">
          <cell r="J168">
            <v>4100209825.7470002</v>
          </cell>
          <cell r="K168">
            <v>216</v>
          </cell>
          <cell r="L168">
            <v>32</v>
          </cell>
          <cell r="M168">
            <v>0.14814814814814814</v>
          </cell>
        </row>
        <row r="169">
          <cell r="J169">
            <v>4100209991.7470002</v>
          </cell>
          <cell r="K169">
            <v>7</v>
          </cell>
          <cell r="L169">
            <v>0</v>
          </cell>
          <cell r="M169">
            <v>0</v>
          </cell>
        </row>
        <row r="170">
          <cell r="J170">
            <v>4100211582.836</v>
          </cell>
          <cell r="K170">
            <v>7</v>
          </cell>
          <cell r="L170">
            <v>0</v>
          </cell>
          <cell r="M170">
            <v>0</v>
          </cell>
        </row>
        <row r="171">
          <cell r="J171">
            <v>4100211583.836</v>
          </cell>
          <cell r="K171">
            <v>19</v>
          </cell>
          <cell r="L171">
            <v>0</v>
          </cell>
          <cell r="M171">
            <v>0</v>
          </cell>
        </row>
        <row r="172">
          <cell r="J172">
            <v>4100211645.836</v>
          </cell>
          <cell r="K172">
            <v>167</v>
          </cell>
          <cell r="L172">
            <v>1</v>
          </cell>
          <cell r="M172">
            <v>5.9880239520958087E-3</v>
          </cell>
        </row>
        <row r="173">
          <cell r="J173">
            <v>4100217259.7470002</v>
          </cell>
          <cell r="K173">
            <v>142</v>
          </cell>
          <cell r="L173">
            <v>7</v>
          </cell>
          <cell r="M173">
            <v>4.9295774647887321E-2</v>
          </cell>
        </row>
        <row r="174">
          <cell r="J174">
            <v>4100217280.7474999</v>
          </cell>
          <cell r="K174">
            <v>1</v>
          </cell>
          <cell r="L174">
            <v>0</v>
          </cell>
          <cell r="M174">
            <v>0</v>
          </cell>
        </row>
        <row r="175">
          <cell r="J175">
            <v>4100217281.7474999</v>
          </cell>
          <cell r="K175">
            <v>1</v>
          </cell>
          <cell r="L175">
            <v>0</v>
          </cell>
          <cell r="M175">
            <v>0</v>
          </cell>
        </row>
        <row r="176">
          <cell r="J176">
            <v>4100217514.7472</v>
          </cell>
          <cell r="K176">
            <v>62</v>
          </cell>
          <cell r="L176">
            <v>3</v>
          </cell>
          <cell r="M176">
            <v>4.8387096774193547E-2</v>
          </cell>
        </row>
        <row r="177">
          <cell r="J177">
            <v>4100217567.7466002</v>
          </cell>
          <cell r="K177">
            <v>19</v>
          </cell>
          <cell r="L177">
            <v>0</v>
          </cell>
          <cell r="M177">
            <v>0</v>
          </cell>
        </row>
        <row r="178">
          <cell r="J178">
            <v>4100217737.8355999</v>
          </cell>
          <cell r="K178">
            <v>12</v>
          </cell>
          <cell r="L178">
            <v>0</v>
          </cell>
          <cell r="M178">
            <v>0</v>
          </cell>
        </row>
        <row r="179">
          <cell r="J179">
            <v>4100217796.7474999</v>
          </cell>
          <cell r="K179">
            <v>154</v>
          </cell>
          <cell r="L179">
            <v>5</v>
          </cell>
          <cell r="M179">
            <v>3.2467532467532464E-2</v>
          </cell>
        </row>
        <row r="180">
          <cell r="J180">
            <v>4100217829.7474999</v>
          </cell>
          <cell r="K180">
            <v>2044</v>
          </cell>
          <cell r="L180">
            <v>90</v>
          </cell>
          <cell r="M180">
            <v>4.4031311154598823E-2</v>
          </cell>
        </row>
        <row r="181">
          <cell r="J181">
            <v>4100217831.7474999</v>
          </cell>
          <cell r="K181">
            <v>34</v>
          </cell>
          <cell r="L181">
            <v>1</v>
          </cell>
          <cell r="M181">
            <v>2.9411764705882353E-2</v>
          </cell>
        </row>
        <row r="182">
          <cell r="J182">
            <v>4100217832.7474999</v>
          </cell>
          <cell r="K182">
            <v>3</v>
          </cell>
          <cell r="L182">
            <v>0</v>
          </cell>
          <cell r="M182">
            <v>0</v>
          </cell>
        </row>
        <row r="183">
          <cell r="J183">
            <v>4100217835.7474999</v>
          </cell>
          <cell r="K183">
            <v>4</v>
          </cell>
          <cell r="L183">
            <v>0</v>
          </cell>
          <cell r="M183">
            <v>0</v>
          </cell>
        </row>
        <row r="184">
          <cell r="J184">
            <v>4100217971.7474999</v>
          </cell>
          <cell r="K184">
            <v>64</v>
          </cell>
          <cell r="L184">
            <v>2</v>
          </cell>
          <cell r="M184">
            <v>3.125E-2</v>
          </cell>
        </row>
        <row r="185">
          <cell r="J185">
            <v>4100217974.7470002</v>
          </cell>
          <cell r="K185">
            <v>1</v>
          </cell>
          <cell r="L185">
            <v>0</v>
          </cell>
          <cell r="M185">
            <v>0</v>
          </cell>
        </row>
        <row r="186">
          <cell r="J186">
            <v>4100221004.7472</v>
          </cell>
          <cell r="K186">
            <v>2</v>
          </cell>
          <cell r="L186">
            <v>0</v>
          </cell>
          <cell r="M186">
            <v>0</v>
          </cell>
        </row>
        <row r="187">
          <cell r="J187">
            <v>4100221012.7472</v>
          </cell>
          <cell r="K187">
            <v>4</v>
          </cell>
          <cell r="L187">
            <v>0</v>
          </cell>
          <cell r="M187">
            <v>0</v>
          </cell>
        </row>
        <row r="188">
          <cell r="J188">
            <v>4100221141.7472</v>
          </cell>
          <cell r="K188">
            <v>2</v>
          </cell>
          <cell r="L188">
            <v>0</v>
          </cell>
          <cell r="M188">
            <v>0</v>
          </cell>
        </row>
        <row r="189">
          <cell r="J189">
            <v>4100221203.7472</v>
          </cell>
          <cell r="K189">
            <v>1</v>
          </cell>
          <cell r="L189">
            <v>0</v>
          </cell>
          <cell r="M189">
            <v>0</v>
          </cell>
        </row>
        <row r="190">
          <cell r="J190">
            <v>4100221242.7472</v>
          </cell>
          <cell r="K190">
            <v>1</v>
          </cell>
          <cell r="L190">
            <v>0</v>
          </cell>
          <cell r="M190">
            <v>0</v>
          </cell>
        </row>
        <row r="191">
          <cell r="J191">
            <v>4100221251.7472</v>
          </cell>
          <cell r="K191">
            <v>4</v>
          </cell>
          <cell r="L191">
            <v>0</v>
          </cell>
          <cell r="M191">
            <v>0</v>
          </cell>
        </row>
        <row r="192">
          <cell r="J192">
            <v>4100221254.7472</v>
          </cell>
          <cell r="K192">
            <v>1</v>
          </cell>
          <cell r="L192">
            <v>0</v>
          </cell>
          <cell r="M192">
            <v>0</v>
          </cell>
        </row>
        <row r="193">
          <cell r="J193">
            <v>4100221257.7472</v>
          </cell>
          <cell r="K193">
            <v>1</v>
          </cell>
          <cell r="L193">
            <v>0</v>
          </cell>
          <cell r="M193">
            <v>0</v>
          </cell>
        </row>
        <row r="194">
          <cell r="J194">
            <v>4100221263.7472</v>
          </cell>
          <cell r="K194">
            <v>1</v>
          </cell>
          <cell r="L194">
            <v>0</v>
          </cell>
          <cell r="M194">
            <v>0</v>
          </cell>
        </row>
        <row r="195">
          <cell r="J195">
            <v>4100221372.7472</v>
          </cell>
          <cell r="K195">
            <v>11</v>
          </cell>
          <cell r="L195">
            <v>0</v>
          </cell>
          <cell r="M195">
            <v>0</v>
          </cell>
        </row>
        <row r="196">
          <cell r="J196">
            <v>4100221396.7472</v>
          </cell>
          <cell r="K196">
            <v>1</v>
          </cell>
          <cell r="L196">
            <v>0</v>
          </cell>
          <cell r="M196">
            <v>0</v>
          </cell>
        </row>
        <row r="197">
          <cell r="J197">
            <v>4100221702.7472</v>
          </cell>
          <cell r="K197">
            <v>2</v>
          </cell>
          <cell r="L197">
            <v>0</v>
          </cell>
          <cell r="M197">
            <v>0</v>
          </cell>
        </row>
        <row r="198">
          <cell r="J198">
            <v>4100221738.7472</v>
          </cell>
          <cell r="K198">
            <v>1</v>
          </cell>
          <cell r="L198">
            <v>0</v>
          </cell>
          <cell r="M198">
            <v>0</v>
          </cell>
        </row>
        <row r="199">
          <cell r="J199">
            <v>4100221767.7472</v>
          </cell>
          <cell r="K199">
            <v>1</v>
          </cell>
          <cell r="L199">
            <v>0</v>
          </cell>
          <cell r="M199">
            <v>0</v>
          </cell>
        </row>
        <row r="200">
          <cell r="J200">
            <v>4100221774.7472</v>
          </cell>
          <cell r="K200">
            <v>1</v>
          </cell>
          <cell r="L200">
            <v>0</v>
          </cell>
          <cell r="M200">
            <v>0</v>
          </cell>
        </row>
        <row r="201">
          <cell r="J201">
            <v>4100223513.7466002</v>
          </cell>
          <cell r="K201">
            <v>22</v>
          </cell>
          <cell r="L201">
            <v>0</v>
          </cell>
          <cell r="M201">
            <v>0</v>
          </cell>
        </row>
        <row r="202">
          <cell r="J202">
            <v>4100223557.7466002</v>
          </cell>
          <cell r="K202">
            <v>6</v>
          </cell>
          <cell r="L202">
            <v>0</v>
          </cell>
          <cell r="M202">
            <v>0</v>
          </cell>
        </row>
        <row r="203">
          <cell r="J203">
            <v>4100223562.7466002</v>
          </cell>
          <cell r="K203">
            <v>2</v>
          </cell>
          <cell r="L203">
            <v>0</v>
          </cell>
          <cell r="M203">
            <v>0</v>
          </cell>
        </row>
        <row r="204">
          <cell r="J204">
            <v>4100223569.7466002</v>
          </cell>
          <cell r="K204">
            <v>20</v>
          </cell>
          <cell r="L204">
            <v>1</v>
          </cell>
          <cell r="M204">
            <v>0.05</v>
          </cell>
        </row>
        <row r="205">
          <cell r="J205">
            <v>4100223576.7466002</v>
          </cell>
          <cell r="K205">
            <v>34</v>
          </cell>
          <cell r="L205">
            <v>0</v>
          </cell>
          <cell r="M205">
            <v>0</v>
          </cell>
        </row>
        <row r="206">
          <cell r="J206">
            <v>4100223594.7466002</v>
          </cell>
          <cell r="K206">
            <v>59</v>
          </cell>
          <cell r="L206">
            <v>3</v>
          </cell>
          <cell r="M206">
            <v>5.0847457627118647E-2</v>
          </cell>
        </row>
        <row r="207">
          <cell r="J207">
            <v>4100223596.7466002</v>
          </cell>
          <cell r="K207">
            <v>40</v>
          </cell>
          <cell r="L207">
            <v>2</v>
          </cell>
          <cell r="M207">
            <v>0.05</v>
          </cell>
        </row>
        <row r="208">
          <cell r="J208">
            <v>4100223612.7466002</v>
          </cell>
          <cell r="K208">
            <v>57</v>
          </cell>
          <cell r="L208">
            <v>2</v>
          </cell>
          <cell r="M208">
            <v>3.5087719298245612E-2</v>
          </cell>
        </row>
        <row r="209">
          <cell r="J209">
            <v>4100223622.7466002</v>
          </cell>
          <cell r="K209">
            <v>97</v>
          </cell>
          <cell r="L209">
            <v>2</v>
          </cell>
          <cell r="M209">
            <v>2.0618556701030927E-2</v>
          </cell>
        </row>
        <row r="210">
          <cell r="J210">
            <v>4100223678.7466002</v>
          </cell>
          <cell r="K210">
            <v>197</v>
          </cell>
          <cell r="L210">
            <v>8</v>
          </cell>
          <cell r="M210">
            <v>4.060913705583756E-2</v>
          </cell>
        </row>
        <row r="211">
          <cell r="J211">
            <v>4100223776.7466002</v>
          </cell>
          <cell r="K211">
            <v>48</v>
          </cell>
          <cell r="L211">
            <v>0</v>
          </cell>
          <cell r="M211">
            <v>0</v>
          </cell>
        </row>
        <row r="212">
          <cell r="J212">
            <v>4100227040.7473998</v>
          </cell>
          <cell r="K212">
            <v>375</v>
          </cell>
          <cell r="L212">
            <v>3</v>
          </cell>
          <cell r="M212">
            <v>8.0000000000000002E-3</v>
          </cell>
        </row>
        <row r="213">
          <cell r="J213">
            <v>4100227255.7473998</v>
          </cell>
          <cell r="K213">
            <v>37</v>
          </cell>
          <cell r="L213">
            <v>0</v>
          </cell>
          <cell r="M213">
            <v>0</v>
          </cell>
        </row>
        <row r="214">
          <cell r="J214">
            <v>4100227323.7473998</v>
          </cell>
          <cell r="K214">
            <v>30</v>
          </cell>
          <cell r="L214">
            <v>0</v>
          </cell>
          <cell r="M214">
            <v>0</v>
          </cell>
        </row>
        <row r="215">
          <cell r="J215">
            <v>4100227331.7473998</v>
          </cell>
          <cell r="K215">
            <v>4</v>
          </cell>
          <cell r="L215">
            <v>0</v>
          </cell>
          <cell r="M215">
            <v>0</v>
          </cell>
        </row>
        <row r="216">
          <cell r="J216">
            <v>4100227342.7473998</v>
          </cell>
          <cell r="K216">
            <v>65</v>
          </cell>
          <cell r="L216">
            <v>0</v>
          </cell>
          <cell r="M216">
            <v>0</v>
          </cell>
        </row>
        <row r="217">
          <cell r="J217">
            <v>4100228143.7473998</v>
          </cell>
          <cell r="K217">
            <v>79</v>
          </cell>
          <cell r="L217">
            <v>0</v>
          </cell>
          <cell r="M217">
            <v>0</v>
          </cell>
        </row>
        <row r="218">
          <cell r="J218">
            <v>4100228238.7473998</v>
          </cell>
          <cell r="K218">
            <v>3</v>
          </cell>
          <cell r="L218">
            <v>0</v>
          </cell>
          <cell r="M218">
            <v>0</v>
          </cell>
        </row>
        <row r="219">
          <cell r="J219">
            <v>4100229212.7473998</v>
          </cell>
          <cell r="K219">
            <v>1</v>
          </cell>
          <cell r="L219">
            <v>0</v>
          </cell>
          <cell r="M219">
            <v>0</v>
          </cell>
        </row>
        <row r="220">
          <cell r="J220">
            <v>4100230096.7473998</v>
          </cell>
          <cell r="K220">
            <v>304</v>
          </cell>
          <cell r="L220">
            <v>1</v>
          </cell>
          <cell r="M220">
            <v>3.2894736842105261E-3</v>
          </cell>
        </row>
        <row r="221">
          <cell r="J221">
            <v>4100230174.7473998</v>
          </cell>
          <cell r="K221">
            <v>126</v>
          </cell>
          <cell r="L221">
            <v>3</v>
          </cell>
          <cell r="M221">
            <v>2.3809523809523808E-2</v>
          </cell>
        </row>
        <row r="222">
          <cell r="J222">
            <v>4100230295.7473998</v>
          </cell>
          <cell r="K222">
            <v>15</v>
          </cell>
          <cell r="L222">
            <v>1</v>
          </cell>
          <cell r="M222">
            <v>6.6666666666666666E-2</v>
          </cell>
        </row>
        <row r="223">
          <cell r="J223">
            <v>4100230347.7473998</v>
          </cell>
          <cell r="K223">
            <v>15</v>
          </cell>
          <cell r="L223">
            <v>0</v>
          </cell>
          <cell r="M223">
            <v>0</v>
          </cell>
        </row>
        <row r="224">
          <cell r="J224">
            <v>4100230348.7473998</v>
          </cell>
          <cell r="K224">
            <v>7</v>
          </cell>
          <cell r="L224">
            <v>0</v>
          </cell>
          <cell r="M224">
            <v>0</v>
          </cell>
        </row>
        <row r="225">
          <cell r="J225">
            <v>4100230353.7473998</v>
          </cell>
          <cell r="K225">
            <v>11</v>
          </cell>
          <cell r="L225">
            <v>0</v>
          </cell>
          <cell r="M225">
            <v>0</v>
          </cell>
        </row>
        <row r="226">
          <cell r="J226">
            <v>4100230366.7473998</v>
          </cell>
          <cell r="K226">
            <v>14</v>
          </cell>
          <cell r="L226">
            <v>0</v>
          </cell>
          <cell r="M226">
            <v>0</v>
          </cell>
        </row>
        <row r="227">
          <cell r="J227">
            <v>4100230792.7473998</v>
          </cell>
          <cell r="K227">
            <v>39</v>
          </cell>
          <cell r="L227">
            <v>0</v>
          </cell>
          <cell r="M227">
            <v>0</v>
          </cell>
        </row>
        <row r="228">
          <cell r="J228">
            <v>4100312564.8365002</v>
          </cell>
          <cell r="K228">
            <v>8</v>
          </cell>
          <cell r="L228">
            <v>0</v>
          </cell>
          <cell r="M228">
            <v>0</v>
          </cell>
        </row>
        <row r="229">
          <cell r="J229">
            <v>4100312647.8365002</v>
          </cell>
          <cell r="K229">
            <v>138</v>
          </cell>
          <cell r="L229">
            <v>5</v>
          </cell>
          <cell r="M229">
            <v>3.6231884057971016E-2</v>
          </cell>
        </row>
        <row r="230">
          <cell r="J230">
            <v>4100312827.8365002</v>
          </cell>
          <cell r="K230">
            <v>138</v>
          </cell>
          <cell r="L230">
            <v>4</v>
          </cell>
          <cell r="M230">
            <v>2.8985507246376812E-2</v>
          </cell>
        </row>
        <row r="231">
          <cell r="J231">
            <v>4100312946.7470002</v>
          </cell>
          <cell r="K231">
            <v>63</v>
          </cell>
          <cell r="L231">
            <v>1</v>
          </cell>
          <cell r="M231">
            <v>1.5873015873015872E-2</v>
          </cell>
        </row>
        <row r="232">
          <cell r="J232">
            <v>4100322504.8354998</v>
          </cell>
          <cell r="K232">
            <v>24</v>
          </cell>
          <cell r="L232">
            <v>0</v>
          </cell>
          <cell r="M232">
            <v>0</v>
          </cell>
        </row>
        <row r="233">
          <cell r="J233">
            <v>4100322528.8354998</v>
          </cell>
          <cell r="K233">
            <v>58</v>
          </cell>
          <cell r="L233">
            <v>0</v>
          </cell>
          <cell r="M233">
            <v>0</v>
          </cell>
        </row>
        <row r="234">
          <cell r="J234">
            <v>4100322529.8354998</v>
          </cell>
          <cell r="K234">
            <v>44</v>
          </cell>
          <cell r="L234">
            <v>1</v>
          </cell>
          <cell r="M234">
            <v>2.2727272727272728E-2</v>
          </cell>
        </row>
        <row r="235">
          <cell r="J235">
            <v>4100322532.8354998</v>
          </cell>
          <cell r="K235">
            <v>54</v>
          </cell>
          <cell r="L235">
            <v>0</v>
          </cell>
          <cell r="M235">
            <v>0</v>
          </cell>
        </row>
        <row r="236">
          <cell r="J236">
            <v>4100322568.8354998</v>
          </cell>
          <cell r="K236">
            <v>144</v>
          </cell>
          <cell r="L236">
            <v>0</v>
          </cell>
          <cell r="M236">
            <v>0</v>
          </cell>
        </row>
        <row r="237">
          <cell r="J237">
            <v>4100322937.7473998</v>
          </cell>
          <cell r="K237">
            <v>1</v>
          </cell>
          <cell r="L237">
            <v>0</v>
          </cell>
          <cell r="M237">
            <v>0</v>
          </cell>
        </row>
        <row r="238">
          <cell r="J238">
            <v>4100322999.8354998</v>
          </cell>
          <cell r="K238">
            <v>9</v>
          </cell>
          <cell r="L238">
            <v>0</v>
          </cell>
          <cell r="M238">
            <v>0</v>
          </cell>
        </row>
        <row r="239">
          <cell r="J239">
            <v>4100415828.7470002</v>
          </cell>
          <cell r="K239">
            <v>1</v>
          </cell>
          <cell r="L239">
            <v>0</v>
          </cell>
          <cell r="M239">
            <v>0</v>
          </cell>
        </row>
        <row r="240">
          <cell r="J240">
            <v>4100514123.5580001</v>
          </cell>
          <cell r="K240">
            <v>17</v>
          </cell>
          <cell r="L240">
            <v>0</v>
          </cell>
          <cell r="M240">
            <v>0</v>
          </cell>
        </row>
        <row r="241">
          <cell r="J241">
            <v>4100514125.5560002</v>
          </cell>
          <cell r="K241">
            <v>6</v>
          </cell>
          <cell r="L241">
            <v>0</v>
          </cell>
          <cell r="M241">
            <v>0</v>
          </cell>
        </row>
        <row r="242">
          <cell r="J242">
            <v>4100514125.5580001</v>
          </cell>
          <cell r="K242">
            <v>23</v>
          </cell>
          <cell r="L242">
            <v>0</v>
          </cell>
          <cell r="M242">
            <v>0</v>
          </cell>
        </row>
        <row r="243">
          <cell r="J243">
            <v>4100514126.5560002</v>
          </cell>
          <cell r="K243">
            <v>397</v>
          </cell>
          <cell r="L243">
            <v>8</v>
          </cell>
          <cell r="M243">
            <v>2.0151133501259445E-2</v>
          </cell>
        </row>
        <row r="244">
          <cell r="J244">
            <v>4100514302.5580001</v>
          </cell>
          <cell r="K244">
            <v>11</v>
          </cell>
          <cell r="L244">
            <v>0</v>
          </cell>
          <cell r="M244">
            <v>0</v>
          </cell>
        </row>
        <row r="245">
          <cell r="J245">
            <v>4100514312.5580001</v>
          </cell>
          <cell r="K245">
            <v>11</v>
          </cell>
          <cell r="L245">
            <v>0</v>
          </cell>
          <cell r="M245">
            <v>0</v>
          </cell>
        </row>
        <row r="246">
          <cell r="J246">
            <v>4100514662.5580001</v>
          </cell>
          <cell r="K246">
            <v>15</v>
          </cell>
          <cell r="L246">
            <v>0</v>
          </cell>
          <cell r="M246">
            <v>0</v>
          </cell>
        </row>
        <row r="247">
          <cell r="J247">
            <v>4100514663.5580001</v>
          </cell>
          <cell r="K247">
            <v>50</v>
          </cell>
          <cell r="L247">
            <v>0</v>
          </cell>
          <cell r="M247">
            <v>0</v>
          </cell>
        </row>
        <row r="248">
          <cell r="J248">
            <v>4100514666.5580001</v>
          </cell>
          <cell r="K248">
            <v>18</v>
          </cell>
          <cell r="L248">
            <v>0</v>
          </cell>
          <cell r="M248">
            <v>0</v>
          </cell>
        </row>
        <row r="249">
          <cell r="J249">
            <v>4100514669.5560002</v>
          </cell>
          <cell r="K249">
            <v>2</v>
          </cell>
          <cell r="L249">
            <v>0</v>
          </cell>
          <cell r="M249">
            <v>0</v>
          </cell>
        </row>
        <row r="250">
          <cell r="J250">
            <v>4100514672.5580001</v>
          </cell>
          <cell r="K250">
            <v>95</v>
          </cell>
          <cell r="L250">
            <v>3</v>
          </cell>
          <cell r="M250">
            <v>3.1578947368421054E-2</v>
          </cell>
        </row>
        <row r="251">
          <cell r="J251">
            <v>4100514673.5580001</v>
          </cell>
          <cell r="K251">
            <v>15</v>
          </cell>
          <cell r="L251">
            <v>0</v>
          </cell>
          <cell r="M251">
            <v>0</v>
          </cell>
        </row>
        <row r="252">
          <cell r="J252">
            <v>4100514676.5580001</v>
          </cell>
          <cell r="K252">
            <v>43</v>
          </cell>
          <cell r="L252">
            <v>1</v>
          </cell>
          <cell r="M252">
            <v>2.3255813953488372E-2</v>
          </cell>
        </row>
        <row r="253">
          <cell r="J253">
            <v>4100514680.5580001</v>
          </cell>
          <cell r="K253">
            <v>21</v>
          </cell>
          <cell r="L253">
            <v>0</v>
          </cell>
          <cell r="M253">
            <v>0</v>
          </cell>
        </row>
        <row r="254">
          <cell r="J254">
            <v>4100514708.5580001</v>
          </cell>
          <cell r="K254">
            <v>756</v>
          </cell>
          <cell r="L254">
            <v>8</v>
          </cell>
          <cell r="M254">
            <v>1.0582010582010581E-2</v>
          </cell>
        </row>
        <row r="255">
          <cell r="J255">
            <v>4100514717.5580001</v>
          </cell>
          <cell r="K255">
            <v>364</v>
          </cell>
          <cell r="L255">
            <v>10</v>
          </cell>
          <cell r="M255">
            <v>2.7472527472527472E-2</v>
          </cell>
        </row>
        <row r="256">
          <cell r="J256">
            <v>4100514910.5580001</v>
          </cell>
          <cell r="K256">
            <v>24</v>
          </cell>
          <cell r="L256">
            <v>1</v>
          </cell>
          <cell r="M256">
            <v>4.1666666666666664E-2</v>
          </cell>
        </row>
        <row r="257">
          <cell r="J257">
            <v>4100514912.5580001</v>
          </cell>
          <cell r="K257">
            <v>21</v>
          </cell>
          <cell r="L257">
            <v>1</v>
          </cell>
          <cell r="M257">
            <v>4.7619047619047616E-2</v>
          </cell>
        </row>
        <row r="258">
          <cell r="J258">
            <v>4100514916.5580001</v>
          </cell>
          <cell r="K258">
            <v>24</v>
          </cell>
          <cell r="L258">
            <v>0</v>
          </cell>
          <cell r="M258">
            <v>0</v>
          </cell>
        </row>
        <row r="259">
          <cell r="J259">
            <v>4100514917.5580001</v>
          </cell>
          <cell r="K259">
            <v>1</v>
          </cell>
          <cell r="L259">
            <v>0</v>
          </cell>
          <cell r="M259">
            <v>0</v>
          </cell>
        </row>
        <row r="260">
          <cell r="J260">
            <v>4100514918.5580001</v>
          </cell>
          <cell r="K260">
            <v>2</v>
          </cell>
          <cell r="L260">
            <v>0</v>
          </cell>
          <cell r="M260">
            <v>0</v>
          </cell>
        </row>
        <row r="261">
          <cell r="J261">
            <v>4100514924.5580001</v>
          </cell>
          <cell r="K261">
            <v>22</v>
          </cell>
          <cell r="L261">
            <v>0</v>
          </cell>
          <cell r="M261">
            <v>0</v>
          </cell>
        </row>
        <row r="262">
          <cell r="J262">
            <v>4100524596.7466002</v>
          </cell>
          <cell r="K262">
            <v>8</v>
          </cell>
          <cell r="L262">
            <v>0</v>
          </cell>
          <cell r="M262">
            <v>0</v>
          </cell>
        </row>
        <row r="263">
          <cell r="J263">
            <v>4100524597.7466002</v>
          </cell>
          <cell r="K263">
            <v>3</v>
          </cell>
          <cell r="L263">
            <v>0</v>
          </cell>
          <cell r="M263">
            <v>0</v>
          </cell>
        </row>
        <row r="264">
          <cell r="J264">
            <v>4100524598.7466002</v>
          </cell>
          <cell r="K264">
            <v>4</v>
          </cell>
          <cell r="L264">
            <v>0</v>
          </cell>
          <cell r="M264">
            <v>0</v>
          </cell>
        </row>
        <row r="265">
          <cell r="J265">
            <v>4100524990.7466002</v>
          </cell>
          <cell r="K265">
            <v>36</v>
          </cell>
          <cell r="L265">
            <v>0</v>
          </cell>
          <cell r="M265">
            <v>0</v>
          </cell>
        </row>
        <row r="266">
          <cell r="J266" t="e">
            <v>#N/A</v>
          </cell>
          <cell r="K266">
            <v>33020</v>
          </cell>
          <cell r="L266">
            <v>492</v>
          </cell>
        </row>
        <row r="267">
          <cell r="J267" t="str">
            <v>(blank)</v>
          </cell>
        </row>
        <row r="268">
          <cell r="J268" t="str">
            <v>Grand Total</v>
          </cell>
          <cell r="K268">
            <v>65535</v>
          </cell>
          <cell r="L268">
            <v>1133</v>
          </cell>
        </row>
      </sheetData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5050D6-C8EF-434D-9879-548E735F46CB}">
  <dimension ref="A1:Z306"/>
  <sheetViews>
    <sheetView tabSelected="1" zoomScaleNormal="100" workbookViewId="0">
      <selection activeCell="C23" sqref="C23"/>
    </sheetView>
  </sheetViews>
  <sheetFormatPr defaultColWidth="8.7109375" defaultRowHeight="15" x14ac:dyDescent="0.25"/>
  <cols>
    <col min="1" max="1" width="11.28515625" bestFit="1" customWidth="1"/>
    <col min="2" max="2" width="19.140625" style="2" customWidth="1"/>
    <col min="3" max="3" width="46.140625" bestFit="1" customWidth="1"/>
    <col min="6" max="6" width="56.28515625" style="20" bestFit="1" customWidth="1"/>
    <col min="7" max="7" width="15.7109375" style="20" customWidth="1"/>
    <col min="8" max="9" width="14.7109375" style="78" customWidth="1"/>
    <col min="10" max="10" width="15.28515625" style="79" customWidth="1"/>
    <col min="11" max="11" width="14.42578125" style="80" bestFit="1" customWidth="1"/>
    <col min="12" max="12" width="14.28515625" style="80" customWidth="1"/>
    <col min="13" max="13" width="14.28515625" style="80" bestFit="1" customWidth="1"/>
    <col min="14" max="14" width="11.7109375" style="80" customWidth="1"/>
    <col min="15" max="15" width="17.42578125" style="80" bestFit="1" customWidth="1"/>
    <col min="16" max="17" width="11.7109375" style="80" customWidth="1"/>
    <col min="18" max="18" width="13.140625" style="80" customWidth="1"/>
    <col min="19" max="19" width="13.42578125" style="80" customWidth="1"/>
    <col min="20" max="20" width="12.28515625" style="80" customWidth="1"/>
    <col min="21" max="22" width="13.5703125" style="80" customWidth="1"/>
    <col min="23" max="23" width="12.7109375" style="80" customWidth="1"/>
    <col min="24" max="24" width="10.7109375" style="80" customWidth="1"/>
    <col min="25" max="25" width="8.7109375" style="9"/>
    <col min="26" max="26" width="11.140625" style="10" bestFit="1" customWidth="1"/>
  </cols>
  <sheetData>
    <row r="1" spans="1:26" ht="21" x14ac:dyDescent="0.35">
      <c r="A1" s="1" t="s">
        <v>0</v>
      </c>
      <c r="F1"/>
      <c r="G1"/>
      <c r="H1" s="3"/>
      <c r="I1" s="3"/>
      <c r="J1" s="4"/>
      <c r="K1"/>
      <c r="L1"/>
      <c r="M1"/>
      <c r="N1"/>
      <c r="O1"/>
      <c r="P1" s="5" t="s">
        <v>1</v>
      </c>
      <c r="Q1" s="6" t="s">
        <v>2</v>
      </c>
      <c r="R1" s="7">
        <v>28281450.724111021</v>
      </c>
      <c r="S1"/>
      <c r="T1"/>
      <c r="U1" s="8"/>
      <c r="V1" s="8"/>
      <c r="W1" s="8"/>
      <c r="X1" s="8"/>
    </row>
    <row r="2" spans="1:26" s="13" customFormat="1" ht="12.75" x14ac:dyDescent="0.2">
      <c r="A2" s="11" t="s">
        <v>3</v>
      </c>
      <c r="B2" s="12"/>
      <c r="H2" s="14"/>
      <c r="I2" s="14"/>
      <c r="J2" s="15"/>
      <c r="K2" s="16"/>
      <c r="M2" s="16"/>
      <c r="P2" s="17"/>
      <c r="Q2" s="6" t="s">
        <v>4</v>
      </c>
      <c r="R2" s="7">
        <v>73919783.610838994</v>
      </c>
      <c r="U2" s="18"/>
      <c r="V2" s="18"/>
      <c r="W2" s="18"/>
      <c r="X2" s="18"/>
      <c r="Y2" s="19"/>
      <c r="Z2" s="20"/>
    </row>
    <row r="3" spans="1:26" s="13" customFormat="1" ht="13.5" thickBot="1" x14ac:dyDescent="0.25">
      <c r="A3" s="11" t="s">
        <v>380</v>
      </c>
      <c r="B3" s="12"/>
      <c r="H3" s="14"/>
      <c r="I3" s="14"/>
      <c r="J3" s="15"/>
      <c r="K3" s="16"/>
      <c r="M3" s="16"/>
      <c r="Q3" s="6" t="s">
        <v>5</v>
      </c>
      <c r="R3" s="21">
        <f>SUM(R1:R2)</f>
        <v>102201234.33495001</v>
      </c>
      <c r="S3" s="22" t="s">
        <v>6</v>
      </c>
      <c r="T3" s="22" t="s">
        <v>7</v>
      </c>
      <c r="V3" s="22" t="s">
        <v>8</v>
      </c>
      <c r="W3" s="18"/>
      <c r="X3" s="18"/>
      <c r="Y3" s="19"/>
      <c r="Z3" s="20"/>
    </row>
    <row r="4" spans="1:26" s="13" customFormat="1" ht="14.25" thickTop="1" thickBot="1" x14ac:dyDescent="0.25">
      <c r="A4" s="20" t="s">
        <v>9</v>
      </c>
      <c r="B4" s="12"/>
      <c r="H4" s="23"/>
      <c r="I4" s="23"/>
      <c r="J4" s="24"/>
      <c r="Q4" s="6" t="s">
        <v>10</v>
      </c>
      <c r="R4" s="25">
        <f>+R13</f>
        <v>121997842.20260006</v>
      </c>
      <c r="S4" s="25">
        <v>14604545.75</v>
      </c>
      <c r="T4" s="25">
        <f>-S304</f>
        <v>-44219.06</v>
      </c>
      <c r="U4" s="26">
        <f>+R4+S4+T4</f>
        <v>136558168.89260006</v>
      </c>
      <c r="V4" s="26">
        <v>-136558168.90000001</v>
      </c>
      <c r="W4" s="27"/>
      <c r="Y4" s="19"/>
      <c r="Z4" s="20"/>
    </row>
    <row r="5" spans="1:26" s="13" customFormat="1" ht="14.25" thickTop="1" thickBot="1" x14ac:dyDescent="0.25">
      <c r="A5" s="20" t="s">
        <v>381</v>
      </c>
      <c r="B5" s="12"/>
      <c r="H5" s="23"/>
      <c r="I5" s="23"/>
      <c r="J5" s="24"/>
      <c r="P5" s="17"/>
      <c r="Q5" s="6" t="s">
        <v>11</v>
      </c>
      <c r="R5" s="26">
        <f>+R3-R4</f>
        <v>-19796607.867650047</v>
      </c>
      <c r="S5" s="27"/>
      <c r="T5" s="27"/>
      <c r="U5" s="27"/>
      <c r="V5" s="27"/>
      <c r="W5" s="27"/>
      <c r="Y5" s="19"/>
      <c r="Z5" s="20"/>
    </row>
    <row r="6" spans="1:26" s="13" customFormat="1" ht="16.5" thickTop="1" thickBot="1" x14ac:dyDescent="0.3">
      <c r="A6" s="11" t="s">
        <v>382</v>
      </c>
      <c r="B6" s="12"/>
      <c r="F6" s="28"/>
      <c r="H6" s="14"/>
      <c r="I6" s="14"/>
      <c r="J6" s="15"/>
      <c r="K6" s="16"/>
      <c r="M6" s="16"/>
      <c r="R6" s="22" t="s">
        <v>12</v>
      </c>
      <c r="S6" s="22" t="s">
        <v>13</v>
      </c>
      <c r="T6" s="22" t="s">
        <v>14</v>
      </c>
      <c r="U6" s="29" t="s">
        <v>15</v>
      </c>
      <c r="V6" s="30"/>
      <c r="W6" s="18"/>
      <c r="X6" s="18"/>
      <c r="Y6" s="19"/>
      <c r="Z6" s="20"/>
    </row>
    <row r="7" spans="1:26" s="13" customFormat="1" ht="16.5" thickTop="1" thickBot="1" x14ac:dyDescent="0.3">
      <c r="A7" s="31" t="s">
        <v>16</v>
      </c>
      <c r="B7" s="12"/>
      <c r="F7" s="32"/>
      <c r="H7" s="14"/>
      <c r="I7" s="14"/>
      <c r="J7" s="15"/>
      <c r="K7" s="16"/>
      <c r="M7" s="16"/>
      <c r="P7" s="33"/>
      <c r="Q7" s="6"/>
      <c r="R7" s="34">
        <v>6480554</v>
      </c>
      <c r="S7" s="35">
        <v>9134506.2899999991</v>
      </c>
      <c r="T7" s="35">
        <v>1616503.43</v>
      </c>
      <c r="U7" s="36">
        <v>2565044.15</v>
      </c>
      <c r="V7" s="26">
        <f>SUM(R7:U7)</f>
        <v>19796607.869999997</v>
      </c>
      <c r="W7" s="18"/>
      <c r="X7" s="18"/>
      <c r="Y7" s="19"/>
      <c r="Z7" s="20"/>
    </row>
    <row r="8" spans="1:26" s="13" customFormat="1" ht="13.5" thickTop="1" x14ac:dyDescent="0.2">
      <c r="A8" s="37" t="s">
        <v>17</v>
      </c>
      <c r="B8" s="38"/>
      <c r="C8" s="39"/>
      <c r="D8" s="39"/>
      <c r="E8" s="39"/>
      <c r="F8" s="39"/>
      <c r="G8" s="39"/>
      <c r="H8" s="40"/>
      <c r="I8" s="40"/>
      <c r="J8" s="41"/>
      <c r="K8" s="42"/>
      <c r="L8" s="39"/>
      <c r="M8" s="42"/>
      <c r="N8" s="39"/>
      <c r="O8" s="39"/>
      <c r="P8" s="43"/>
      <c r="Q8" s="44"/>
      <c r="R8" s="44"/>
      <c r="S8" s="39"/>
      <c r="T8" s="39"/>
      <c r="U8" s="45"/>
      <c r="V8" s="45"/>
      <c r="W8" s="45"/>
      <c r="X8" s="45"/>
      <c r="Y8" s="19"/>
      <c r="Z8" s="20"/>
    </row>
    <row r="9" spans="1:26" s="13" customFormat="1" ht="12.75" x14ac:dyDescent="0.2">
      <c r="A9" s="46" t="s">
        <v>18</v>
      </c>
      <c r="B9" s="47"/>
      <c r="C9" s="48"/>
      <c r="D9" s="48"/>
      <c r="E9" s="48"/>
      <c r="F9" s="48"/>
      <c r="G9" s="48"/>
      <c r="H9" s="49"/>
      <c r="I9" s="49"/>
      <c r="J9" s="50"/>
      <c r="K9" s="51"/>
      <c r="L9" s="48"/>
      <c r="M9" s="51"/>
      <c r="N9" s="48"/>
      <c r="O9" s="48"/>
      <c r="P9" s="52"/>
      <c r="Q9" s="53"/>
      <c r="R9" s="48"/>
      <c r="S9" s="48"/>
      <c r="T9" s="48"/>
      <c r="U9" s="54"/>
      <c r="V9" s="54"/>
      <c r="W9" s="54"/>
      <c r="X9" s="54"/>
      <c r="Y9" s="19"/>
      <c r="Z9" s="20"/>
    </row>
    <row r="10" spans="1:26" s="13" customFormat="1" ht="12.75" x14ac:dyDescent="0.2">
      <c r="A10" s="55" t="s">
        <v>19</v>
      </c>
      <c r="B10" s="56"/>
      <c r="C10" s="57"/>
      <c r="D10" s="57"/>
      <c r="E10" s="57"/>
      <c r="F10" s="57"/>
      <c r="G10" s="57"/>
      <c r="H10" s="58"/>
      <c r="I10" s="58"/>
      <c r="J10" s="59"/>
      <c r="K10" s="57"/>
      <c r="L10" s="57"/>
      <c r="M10" s="57"/>
      <c r="N10" s="57"/>
      <c r="O10" s="57"/>
      <c r="P10" s="57"/>
      <c r="Q10" s="60"/>
      <c r="R10" s="61"/>
      <c r="S10" s="61"/>
      <c r="T10" s="61"/>
      <c r="U10" s="61"/>
      <c r="V10" s="61"/>
      <c r="W10" s="61"/>
      <c r="X10" s="57"/>
      <c r="Y10" s="19"/>
      <c r="Z10" s="20"/>
    </row>
    <row r="11" spans="1:26" s="13" customFormat="1" ht="12.75" x14ac:dyDescent="0.2">
      <c r="A11" s="62" t="s">
        <v>20</v>
      </c>
      <c r="B11" s="63"/>
      <c r="C11" s="64"/>
      <c r="D11" s="64"/>
      <c r="E11" s="64"/>
      <c r="F11" s="64"/>
      <c r="G11" s="64"/>
      <c r="H11" s="65"/>
      <c r="I11" s="65"/>
      <c r="J11" s="66"/>
      <c r="K11" s="64"/>
      <c r="L11" s="64"/>
      <c r="M11" s="64"/>
      <c r="N11" s="64"/>
      <c r="O11" s="64"/>
      <c r="P11" s="64"/>
      <c r="Q11" s="67"/>
      <c r="R11" s="68"/>
      <c r="S11" s="68"/>
      <c r="T11" s="68"/>
      <c r="U11" s="68"/>
      <c r="V11" s="68"/>
      <c r="W11" s="68"/>
      <c r="X11" s="64"/>
      <c r="Y11" s="19"/>
      <c r="Z11" s="20"/>
    </row>
    <row r="12" spans="1:26" s="71" customFormat="1" ht="12.75" x14ac:dyDescent="0.2">
      <c r="A12" s="69" t="s">
        <v>21</v>
      </c>
      <c r="B12" s="70"/>
      <c r="H12" s="72"/>
      <c r="I12" s="72"/>
      <c r="J12" s="73"/>
      <c r="Q12" s="74"/>
      <c r="R12" s="75"/>
      <c r="S12" s="75"/>
      <c r="T12" s="75"/>
      <c r="U12" s="75"/>
      <c r="V12" s="75"/>
      <c r="W12" s="75"/>
      <c r="Y12" s="76"/>
      <c r="Z12" s="77"/>
    </row>
    <row r="13" spans="1:26" x14ac:dyDescent="0.25">
      <c r="H13" s="78">
        <f>SUM(H15:H304)</f>
        <v>69132</v>
      </c>
      <c r="I13" s="78">
        <f>SUM(I15:I304)</f>
        <v>114914</v>
      </c>
      <c r="J13" s="79">
        <f>+H13/I13</f>
        <v>0.60159771655324856</v>
      </c>
      <c r="L13" s="80">
        <f>-SUM(L252:L261)</f>
        <v>-1714808.085</v>
      </c>
      <c r="R13" s="78">
        <f>SUM(R15:R304)</f>
        <v>121997842.20260006</v>
      </c>
      <c r="W13" s="80">
        <f>+SUM(W252:W261)</f>
        <v>22577519.419400003</v>
      </c>
      <c r="Z13" s="78">
        <f>SUM(Z15:Z304)</f>
        <v>1249938.6413628545</v>
      </c>
    </row>
    <row r="14" spans="1:26" s="89" customFormat="1" ht="45" x14ac:dyDescent="0.25">
      <c r="A14" s="81" t="s">
        <v>22</v>
      </c>
      <c r="B14" s="82" t="s">
        <v>23</v>
      </c>
      <c r="C14" s="81" t="s">
        <v>24</v>
      </c>
      <c r="D14" s="81" t="s">
        <v>25</v>
      </c>
      <c r="E14" s="81" t="s">
        <v>26</v>
      </c>
      <c r="F14" s="81" t="s">
        <v>27</v>
      </c>
      <c r="G14" s="81" t="s">
        <v>28</v>
      </c>
      <c r="H14" s="83" t="s">
        <v>29</v>
      </c>
      <c r="I14" s="83" t="s">
        <v>30</v>
      </c>
      <c r="J14" s="84" t="s">
        <v>31</v>
      </c>
      <c r="K14" s="85" t="s">
        <v>32</v>
      </c>
      <c r="L14" s="85" t="s">
        <v>33</v>
      </c>
      <c r="M14" s="86" t="s">
        <v>34</v>
      </c>
      <c r="N14" s="86" t="s">
        <v>35</v>
      </c>
      <c r="O14" s="86" t="s">
        <v>36</v>
      </c>
      <c r="P14" s="86" t="s">
        <v>37</v>
      </c>
      <c r="Q14" s="86" t="s">
        <v>38</v>
      </c>
      <c r="R14" s="86" t="s">
        <v>39</v>
      </c>
      <c r="S14" s="85" t="s">
        <v>40</v>
      </c>
      <c r="T14" s="85" t="s">
        <v>41</v>
      </c>
      <c r="U14" s="85" t="s">
        <v>42</v>
      </c>
      <c r="V14" s="85" t="s">
        <v>43</v>
      </c>
      <c r="W14" s="85" t="s">
        <v>44</v>
      </c>
      <c r="X14" s="85" t="s">
        <v>45</v>
      </c>
      <c r="Y14" s="87" t="s">
        <v>46</v>
      </c>
      <c r="Z14" s="88" t="s">
        <v>47</v>
      </c>
    </row>
    <row r="15" spans="1:26" x14ac:dyDescent="0.25">
      <c r="A15" s="90" t="s">
        <v>48</v>
      </c>
      <c r="B15" s="91">
        <v>4100202522.7474999</v>
      </c>
      <c r="C15" s="90" t="s">
        <v>49</v>
      </c>
      <c r="D15" s="90" t="s">
        <v>50</v>
      </c>
      <c r="E15" s="90" t="s">
        <v>51</v>
      </c>
      <c r="F15" s="90" t="s">
        <v>52</v>
      </c>
      <c r="G15" s="92"/>
      <c r="H15" s="93"/>
      <c r="I15" s="93"/>
      <c r="J15" s="94"/>
      <c r="K15" s="95">
        <v>3052931.0991000002</v>
      </c>
      <c r="L15" s="95">
        <v>589380.83530000004</v>
      </c>
      <c r="M15" s="95">
        <f t="shared" ref="M15:M78" si="0">+K15+L15</f>
        <v>3642311.9344000001</v>
      </c>
      <c r="N15" s="95">
        <v>2156976.0328000002</v>
      </c>
      <c r="O15" s="95">
        <v>0</v>
      </c>
      <c r="P15" s="96"/>
      <c r="Q15" s="95">
        <v>226746.1139</v>
      </c>
      <c r="R15" s="95">
        <f t="shared" ref="R15:R78" si="1">SUM(S15:X15)</f>
        <v>1258589.7878</v>
      </c>
      <c r="S15" s="96"/>
      <c r="T15" s="95">
        <v>1258589.7878</v>
      </c>
      <c r="U15" s="96"/>
      <c r="V15" s="96"/>
      <c r="W15" s="96"/>
      <c r="X15" s="96"/>
      <c r="Y15" s="9">
        <f>IFERROR(VLOOKUP(B15,'[1]2122 Veterans Count'!$J:$M,4,FALSE),0)</f>
        <v>2.9585798816568046E-2</v>
      </c>
      <c r="Z15" s="97">
        <f>+Y15*R15</f>
        <v>37236.384254437871</v>
      </c>
    </row>
    <row r="16" spans="1:26" x14ac:dyDescent="0.25">
      <c r="A16" s="90" t="s">
        <v>48</v>
      </c>
      <c r="B16" s="91">
        <v>4100202604.7474999</v>
      </c>
      <c r="C16" s="90" t="s">
        <v>53</v>
      </c>
      <c r="D16" s="90" t="s">
        <v>50</v>
      </c>
      <c r="E16" s="90" t="s">
        <v>51</v>
      </c>
      <c r="F16" s="90" t="s">
        <v>52</v>
      </c>
      <c r="G16" s="93"/>
      <c r="H16" s="93"/>
      <c r="I16" s="93"/>
      <c r="J16" s="93"/>
      <c r="K16" s="95">
        <v>125626.2726</v>
      </c>
      <c r="L16" s="95">
        <v>37775.219400000002</v>
      </c>
      <c r="M16" s="95">
        <f t="shared" si="0"/>
        <v>163401.492</v>
      </c>
      <c r="N16" s="95">
        <v>131041.0239</v>
      </c>
      <c r="O16" s="95">
        <v>0</v>
      </c>
      <c r="P16" s="96"/>
      <c r="Q16" s="95">
        <v>13699.7826</v>
      </c>
      <c r="R16" s="95">
        <f t="shared" si="1"/>
        <v>18660.6855</v>
      </c>
      <c r="S16" s="96"/>
      <c r="T16" s="95">
        <v>18660.6855</v>
      </c>
      <c r="U16" s="96"/>
      <c r="V16" s="96"/>
      <c r="W16" s="96"/>
      <c r="X16" s="96"/>
      <c r="Y16" s="9">
        <f>IFERROR(VLOOKUP(B16,'[1]2122 Veterans Count'!$J:$M,4,FALSE),0)</f>
        <v>0</v>
      </c>
      <c r="Z16" s="97">
        <f t="shared" ref="Z16:Z79" si="2">+Y16*R16</f>
        <v>0</v>
      </c>
    </row>
    <row r="17" spans="1:26" x14ac:dyDescent="0.25">
      <c r="A17" s="90" t="s">
        <v>48</v>
      </c>
      <c r="B17" s="91">
        <v>4100202952.7474999</v>
      </c>
      <c r="C17" s="90" t="s">
        <v>54</v>
      </c>
      <c r="D17" s="90" t="s">
        <v>50</v>
      </c>
      <c r="E17" s="90" t="s">
        <v>51</v>
      </c>
      <c r="F17" s="90" t="s">
        <v>52</v>
      </c>
      <c r="G17" s="93"/>
      <c r="H17" s="93"/>
      <c r="I17" s="93"/>
      <c r="J17" s="93"/>
      <c r="K17" s="95">
        <v>6373.4004000000004</v>
      </c>
      <c r="L17" s="95">
        <v>2227.06</v>
      </c>
      <c r="M17" s="95">
        <f t="shared" si="0"/>
        <v>8600.4603999999999</v>
      </c>
      <c r="N17" s="95">
        <v>5971.9807000000001</v>
      </c>
      <c r="O17" s="95">
        <v>0</v>
      </c>
      <c r="P17" s="96"/>
      <c r="Q17" s="95">
        <v>344.64139999999998</v>
      </c>
      <c r="R17" s="95">
        <f t="shared" si="1"/>
        <v>2283.8384000000001</v>
      </c>
      <c r="S17" s="96"/>
      <c r="T17" s="95">
        <v>2283.8384000000001</v>
      </c>
      <c r="U17" s="96"/>
      <c r="V17" s="96"/>
      <c r="W17" s="96"/>
      <c r="X17" s="96"/>
      <c r="Y17" s="9">
        <f>IFERROR(VLOOKUP(B17,'[1]2122 Veterans Count'!$J:$M,4,FALSE),0)</f>
        <v>0</v>
      </c>
      <c r="Z17" s="97">
        <f t="shared" si="2"/>
        <v>0</v>
      </c>
    </row>
    <row r="18" spans="1:26" x14ac:dyDescent="0.25">
      <c r="A18" s="90" t="s">
        <v>48</v>
      </c>
      <c r="B18" s="91">
        <v>4100203570.7474999</v>
      </c>
      <c r="C18" s="90" t="s">
        <v>55</v>
      </c>
      <c r="D18" s="90" t="s">
        <v>50</v>
      </c>
      <c r="E18" s="90" t="s">
        <v>51</v>
      </c>
      <c r="F18" s="90" t="s">
        <v>52</v>
      </c>
      <c r="G18" s="93"/>
      <c r="H18" s="93"/>
      <c r="I18" s="93"/>
      <c r="J18" s="93"/>
      <c r="K18" s="95">
        <v>207328.45360000001</v>
      </c>
      <c r="L18" s="95">
        <v>51130.318899999998</v>
      </c>
      <c r="M18" s="95">
        <f t="shared" si="0"/>
        <v>258458.77250000002</v>
      </c>
      <c r="N18" s="95">
        <v>164863.258</v>
      </c>
      <c r="O18" s="95">
        <v>0</v>
      </c>
      <c r="P18" s="96"/>
      <c r="Q18" s="95">
        <v>21600.5579</v>
      </c>
      <c r="R18" s="95">
        <f t="shared" si="1"/>
        <v>71994.956600000005</v>
      </c>
      <c r="S18" s="96"/>
      <c r="T18" s="95">
        <v>71994.956600000005</v>
      </c>
      <c r="U18" s="96"/>
      <c r="V18" s="96"/>
      <c r="W18" s="96"/>
      <c r="X18" s="96"/>
      <c r="Y18" s="9">
        <f>IFERROR(VLOOKUP(B18,'[1]2122 Veterans Count'!$J:$M,4,FALSE),0)</f>
        <v>0</v>
      </c>
      <c r="Z18" s="97">
        <f t="shared" si="2"/>
        <v>0</v>
      </c>
    </row>
    <row r="19" spans="1:26" x14ac:dyDescent="0.25">
      <c r="A19" s="90" t="s">
        <v>48</v>
      </c>
      <c r="B19" s="91">
        <v>4100203580.7474999</v>
      </c>
      <c r="C19" s="90" t="s">
        <v>56</v>
      </c>
      <c r="D19" s="90" t="s">
        <v>50</v>
      </c>
      <c r="E19" s="90" t="s">
        <v>51</v>
      </c>
      <c r="F19" s="90" t="s">
        <v>52</v>
      </c>
      <c r="G19" s="93"/>
      <c r="H19" s="93"/>
      <c r="I19" s="93"/>
      <c r="J19" s="93"/>
      <c r="K19" s="95">
        <v>132493.53339999999</v>
      </c>
      <c r="L19" s="95">
        <v>17971.988600000001</v>
      </c>
      <c r="M19" s="95">
        <f t="shared" si="0"/>
        <v>150465.522</v>
      </c>
      <c r="N19" s="95">
        <v>104727.0092</v>
      </c>
      <c r="O19" s="95">
        <v>0</v>
      </c>
      <c r="P19" s="96"/>
      <c r="Q19" s="95">
        <v>6998.8724000000002</v>
      </c>
      <c r="R19" s="95">
        <f t="shared" si="1"/>
        <v>38739.640299999999</v>
      </c>
      <c r="S19" s="96"/>
      <c r="T19" s="95">
        <v>38739.640299999999</v>
      </c>
      <c r="U19" s="96"/>
      <c r="V19" s="96"/>
      <c r="W19" s="96"/>
      <c r="X19" s="96"/>
      <c r="Y19" s="9">
        <f>IFERROR(VLOOKUP(B19,'[1]2122 Veterans Count'!$J:$M,4,FALSE),0)</f>
        <v>0</v>
      </c>
      <c r="Z19" s="97">
        <f t="shared" si="2"/>
        <v>0</v>
      </c>
    </row>
    <row r="20" spans="1:26" x14ac:dyDescent="0.25">
      <c r="A20" s="90" t="s">
        <v>48</v>
      </c>
      <c r="B20" s="91">
        <v>4100203612.7474999</v>
      </c>
      <c r="C20" s="90" t="s">
        <v>57</v>
      </c>
      <c r="D20" s="90" t="s">
        <v>50</v>
      </c>
      <c r="E20" s="90" t="s">
        <v>51</v>
      </c>
      <c r="F20" s="90" t="s">
        <v>52</v>
      </c>
      <c r="G20" s="98"/>
      <c r="H20" s="93"/>
      <c r="I20" s="93"/>
      <c r="J20" s="94"/>
      <c r="K20" s="95">
        <v>272634.15749999997</v>
      </c>
      <c r="L20" s="95">
        <v>61109.121200000001</v>
      </c>
      <c r="M20" s="95">
        <f t="shared" si="0"/>
        <v>333743.27869999997</v>
      </c>
      <c r="N20" s="95">
        <v>201135.69870000001</v>
      </c>
      <c r="O20" s="95">
        <v>0</v>
      </c>
      <c r="P20" s="96"/>
      <c r="Q20" s="95">
        <v>93220.8079</v>
      </c>
      <c r="R20" s="95">
        <f t="shared" si="1"/>
        <v>39386.772199999999</v>
      </c>
      <c r="S20" s="96"/>
      <c r="T20" s="95">
        <v>39386.772199999999</v>
      </c>
      <c r="U20" s="96"/>
      <c r="V20" s="96"/>
      <c r="W20" s="96"/>
      <c r="X20" s="96"/>
      <c r="Y20" s="9">
        <f>IFERROR(VLOOKUP(B20,'[1]2122 Veterans Count'!$J:$M,4,FALSE),0)</f>
        <v>4.3478260869565216E-2</v>
      </c>
      <c r="Z20" s="97">
        <f t="shared" si="2"/>
        <v>1712.468356521739</v>
      </c>
    </row>
    <row r="21" spans="1:26" x14ac:dyDescent="0.25">
      <c r="A21" s="90" t="s">
        <v>48</v>
      </c>
      <c r="B21" s="91">
        <v>4100203615.7474999</v>
      </c>
      <c r="C21" s="90" t="s">
        <v>58</v>
      </c>
      <c r="D21" s="90" t="s">
        <v>50</v>
      </c>
      <c r="E21" s="90" t="s">
        <v>51</v>
      </c>
      <c r="F21" s="90" t="s">
        <v>52</v>
      </c>
      <c r="G21" s="93"/>
      <c r="H21" s="93"/>
      <c r="I21" s="93"/>
      <c r="J21" s="93"/>
      <c r="K21" s="95">
        <v>226817.17800000001</v>
      </c>
      <c r="L21" s="95">
        <v>31960.535899999999</v>
      </c>
      <c r="M21" s="95">
        <f t="shared" si="0"/>
        <v>258777.7139</v>
      </c>
      <c r="N21" s="95">
        <v>165571.11240000001</v>
      </c>
      <c r="O21" s="95">
        <v>0</v>
      </c>
      <c r="P21" s="96"/>
      <c r="Q21" s="95">
        <v>71942.080799999996</v>
      </c>
      <c r="R21" s="95">
        <f t="shared" si="1"/>
        <v>21264.5206</v>
      </c>
      <c r="S21" s="96"/>
      <c r="T21" s="95">
        <v>21264.5206</v>
      </c>
      <c r="U21" s="96"/>
      <c r="V21" s="96"/>
      <c r="W21" s="96"/>
      <c r="X21" s="96"/>
      <c r="Y21" s="9">
        <f>IFERROR(VLOOKUP(B21,'[1]2122 Veterans Count'!$J:$M,4,FALSE),0)</f>
        <v>0</v>
      </c>
      <c r="Z21" s="97">
        <f t="shared" si="2"/>
        <v>0</v>
      </c>
    </row>
    <row r="22" spans="1:26" x14ac:dyDescent="0.25">
      <c r="A22" s="90" t="s">
        <v>48</v>
      </c>
      <c r="B22" s="91">
        <v>4100204512.7474999</v>
      </c>
      <c r="C22" s="90" t="s">
        <v>59</v>
      </c>
      <c r="D22" s="90" t="s">
        <v>50</v>
      </c>
      <c r="E22" s="90" t="s">
        <v>51</v>
      </c>
      <c r="F22" s="90" t="s">
        <v>52</v>
      </c>
      <c r="G22" s="93"/>
      <c r="H22" s="93"/>
      <c r="I22" s="93"/>
      <c r="J22" s="93"/>
      <c r="K22" s="95">
        <v>268665.54450000002</v>
      </c>
      <c r="L22" s="95">
        <v>45589.871099999997</v>
      </c>
      <c r="M22" s="95">
        <f t="shared" si="0"/>
        <v>314255.41560000001</v>
      </c>
      <c r="N22" s="95">
        <v>207748.2225</v>
      </c>
      <c r="O22" s="95">
        <v>0</v>
      </c>
      <c r="P22" s="96"/>
      <c r="Q22" s="95">
        <v>10190.017099999999</v>
      </c>
      <c r="R22" s="95">
        <f t="shared" si="1"/>
        <v>96317.175900000002</v>
      </c>
      <c r="S22" s="96"/>
      <c r="T22" s="95">
        <v>96317.175900000002</v>
      </c>
      <c r="U22" s="96"/>
      <c r="V22" s="96"/>
      <c r="W22" s="96"/>
      <c r="X22" s="96"/>
      <c r="Y22" s="9">
        <f>IFERROR(VLOOKUP(B22,'[1]2122 Veterans Count'!$J:$M,4,FALSE),0)</f>
        <v>0</v>
      </c>
      <c r="Z22" s="97">
        <f t="shared" si="2"/>
        <v>0</v>
      </c>
    </row>
    <row r="23" spans="1:26" x14ac:dyDescent="0.25">
      <c r="A23" s="90" t="s">
        <v>48</v>
      </c>
      <c r="B23" s="91">
        <v>4100204620.7474999</v>
      </c>
      <c r="C23" s="90" t="s">
        <v>60</v>
      </c>
      <c r="D23" s="90" t="s">
        <v>50</v>
      </c>
      <c r="E23" s="90" t="s">
        <v>51</v>
      </c>
      <c r="F23" s="90" t="s">
        <v>52</v>
      </c>
      <c r="G23" s="93"/>
      <c r="H23" s="93"/>
      <c r="I23" s="93"/>
      <c r="J23" s="93"/>
      <c r="K23" s="95">
        <v>187067.04689999999</v>
      </c>
      <c r="L23" s="95">
        <v>41557.515200000002</v>
      </c>
      <c r="M23" s="95">
        <f t="shared" si="0"/>
        <v>228624.56209999998</v>
      </c>
      <c r="N23" s="95">
        <v>196904.90950000001</v>
      </c>
      <c r="O23" s="95">
        <v>0</v>
      </c>
      <c r="P23" s="96"/>
      <c r="Q23" s="95">
        <v>11352.727800000001</v>
      </c>
      <c r="R23" s="95">
        <f t="shared" si="1"/>
        <v>20366.924900000002</v>
      </c>
      <c r="S23" s="96"/>
      <c r="T23" s="95">
        <v>20366.924900000002</v>
      </c>
      <c r="U23" s="96"/>
      <c r="V23" s="96"/>
      <c r="W23" s="96"/>
      <c r="X23" s="96"/>
      <c r="Y23" s="9">
        <f>IFERROR(VLOOKUP(B23,'[1]2122 Veterans Count'!$J:$M,4,FALSE),0)</f>
        <v>5.7142857142857141E-2</v>
      </c>
      <c r="Z23" s="97">
        <f t="shared" si="2"/>
        <v>1163.82428</v>
      </c>
    </row>
    <row r="24" spans="1:26" x14ac:dyDescent="0.25">
      <c r="A24" s="90" t="s">
        <v>48</v>
      </c>
      <c r="B24" s="91">
        <v>4100204627.7474999</v>
      </c>
      <c r="C24" s="90" t="s">
        <v>61</v>
      </c>
      <c r="D24" s="90" t="s">
        <v>50</v>
      </c>
      <c r="E24" s="90" t="s">
        <v>51</v>
      </c>
      <c r="F24" s="90" t="s">
        <v>52</v>
      </c>
      <c r="G24" s="93"/>
      <c r="H24" s="93"/>
      <c r="I24" s="93"/>
      <c r="J24" s="93"/>
      <c r="K24" s="95">
        <v>182.80520000000001</v>
      </c>
      <c r="L24" s="95">
        <v>46.427599999999998</v>
      </c>
      <c r="M24" s="95">
        <f t="shared" si="0"/>
        <v>229.2328</v>
      </c>
      <c r="N24" s="95">
        <v>166.91069999999999</v>
      </c>
      <c r="O24" s="95">
        <v>0</v>
      </c>
      <c r="P24" s="96"/>
      <c r="Q24" s="95">
        <v>0</v>
      </c>
      <c r="R24" s="95">
        <f t="shared" si="1"/>
        <v>62.322099999999999</v>
      </c>
      <c r="S24" s="96"/>
      <c r="T24" s="95">
        <v>62.322099999999999</v>
      </c>
      <c r="U24" s="96"/>
      <c r="V24" s="96"/>
      <c r="W24" s="96"/>
      <c r="X24" s="96"/>
      <c r="Y24" s="9">
        <f>IFERROR(VLOOKUP(B24,'[1]2122 Veterans Count'!$J:$M,4,FALSE),0)</f>
        <v>0</v>
      </c>
      <c r="Z24" s="97">
        <f t="shared" si="2"/>
        <v>0</v>
      </c>
    </row>
    <row r="25" spans="1:26" x14ac:dyDescent="0.25">
      <c r="A25" s="90" t="s">
        <v>48</v>
      </c>
      <c r="B25" s="91">
        <v>4100204820.7474999</v>
      </c>
      <c r="C25" s="90" t="s">
        <v>62</v>
      </c>
      <c r="D25" s="90" t="s">
        <v>50</v>
      </c>
      <c r="E25" s="90" t="s">
        <v>51</v>
      </c>
      <c r="F25" s="90" t="s">
        <v>52</v>
      </c>
      <c r="G25" s="93"/>
      <c r="H25" s="93"/>
      <c r="I25" s="93"/>
      <c r="J25" s="93"/>
      <c r="K25" s="95">
        <v>3136503.1817000001</v>
      </c>
      <c r="L25" s="95">
        <v>672039.83539999998</v>
      </c>
      <c r="M25" s="95">
        <f t="shared" si="0"/>
        <v>3808543.0170999998</v>
      </c>
      <c r="N25" s="95">
        <v>2579637.1414999999</v>
      </c>
      <c r="O25" s="95">
        <v>0</v>
      </c>
      <c r="P25" s="96"/>
      <c r="Q25" s="95">
        <v>313732.25900000002</v>
      </c>
      <c r="R25" s="95">
        <f t="shared" si="1"/>
        <v>915173.61659999995</v>
      </c>
      <c r="S25" s="96"/>
      <c r="T25" s="95">
        <v>915173.61659999995</v>
      </c>
      <c r="U25" s="96"/>
      <c r="V25" s="96"/>
      <c r="W25" s="96"/>
      <c r="X25" s="96"/>
      <c r="Y25" s="9">
        <f>IFERROR(VLOOKUP(B25,'[1]2122 Veterans Count'!$J:$M,4,FALSE),0)</f>
        <v>2.8409090909090908E-2</v>
      </c>
      <c r="Z25" s="97">
        <f t="shared" si="2"/>
        <v>25999.250471590905</v>
      </c>
    </row>
    <row r="26" spans="1:26" x14ac:dyDescent="0.25">
      <c r="A26" s="90" t="s">
        <v>48</v>
      </c>
      <c r="B26" s="91">
        <v>4100206936.7472</v>
      </c>
      <c r="C26" s="90" t="s">
        <v>63</v>
      </c>
      <c r="D26" s="99" t="s">
        <v>50</v>
      </c>
      <c r="E26" s="99" t="s">
        <v>51</v>
      </c>
      <c r="F26" s="90" t="s">
        <v>52</v>
      </c>
      <c r="G26" s="93"/>
      <c r="H26" s="93"/>
      <c r="I26" s="93"/>
      <c r="J26" s="93"/>
      <c r="K26" s="95">
        <v>1492539.3929999999</v>
      </c>
      <c r="L26" s="95">
        <v>627190.97900000005</v>
      </c>
      <c r="M26" s="95">
        <f t="shared" si="0"/>
        <v>2119730.372</v>
      </c>
      <c r="N26" s="95">
        <v>69510.707999999999</v>
      </c>
      <c r="O26" s="95">
        <v>0</v>
      </c>
      <c r="P26" s="96"/>
      <c r="Q26" s="95">
        <v>134940.22390000001</v>
      </c>
      <c r="R26" s="95">
        <f t="shared" si="1"/>
        <v>1915279.4402000001</v>
      </c>
      <c r="S26" s="96"/>
      <c r="T26" s="95">
        <v>1915279.4402000001</v>
      </c>
      <c r="U26" s="96"/>
      <c r="V26" s="96"/>
      <c r="W26" s="100">
        <v>0</v>
      </c>
      <c r="X26" s="96"/>
      <c r="Y26" s="9">
        <f>IFERROR(VLOOKUP(B26,'[1]2122 Veterans Count'!$J:$M,4,FALSE),0)</f>
        <v>0</v>
      </c>
      <c r="Z26" s="97">
        <f t="shared" si="2"/>
        <v>0</v>
      </c>
    </row>
    <row r="27" spans="1:26" x14ac:dyDescent="0.25">
      <c r="A27" s="101" t="s">
        <v>48</v>
      </c>
      <c r="B27" s="102">
        <v>4100208313.8395</v>
      </c>
      <c r="C27" s="101" t="s">
        <v>64</v>
      </c>
      <c r="D27" s="101" t="s">
        <v>50</v>
      </c>
      <c r="E27" s="101" t="s">
        <v>51</v>
      </c>
      <c r="F27" s="101" t="s">
        <v>52</v>
      </c>
      <c r="G27" s="103"/>
      <c r="H27" s="103"/>
      <c r="I27" s="103"/>
      <c r="J27" s="103"/>
      <c r="K27" s="104">
        <f>1022040-1022040+88510</f>
        <v>88510</v>
      </c>
      <c r="L27" s="105"/>
      <c r="M27" s="104">
        <f t="shared" si="0"/>
        <v>88510</v>
      </c>
      <c r="N27" s="106"/>
      <c r="O27" s="104">
        <f>909014.5658-909014.5658</f>
        <v>0</v>
      </c>
      <c r="P27" s="105"/>
      <c r="Q27" s="104">
        <f>24515.4342-24515.4342</f>
        <v>0</v>
      </c>
      <c r="R27" s="104">
        <f t="shared" si="1"/>
        <v>88510</v>
      </c>
      <c r="S27" s="105"/>
      <c r="T27" s="104">
        <v>88510</v>
      </c>
      <c r="U27" s="105"/>
      <c r="V27" s="105"/>
      <c r="W27" s="105"/>
      <c r="X27" s="105"/>
      <c r="Y27" s="9">
        <f>IFERROR(VLOOKUP(B27,'[1]2122 Veterans Count'!$J:$M,4,FALSE),0)</f>
        <v>0</v>
      </c>
      <c r="Z27" s="97">
        <f t="shared" si="2"/>
        <v>0</v>
      </c>
    </row>
    <row r="28" spans="1:26" x14ac:dyDescent="0.25">
      <c r="A28" s="101" t="s">
        <v>48</v>
      </c>
      <c r="B28" s="102">
        <v>4100208341.8395</v>
      </c>
      <c r="C28" s="101" t="s">
        <v>65</v>
      </c>
      <c r="D28" s="101" t="s">
        <v>50</v>
      </c>
      <c r="E28" s="101" t="s">
        <v>51</v>
      </c>
      <c r="F28" s="101" t="s">
        <v>52</v>
      </c>
      <c r="G28" s="103"/>
      <c r="H28" s="103"/>
      <c r="I28" s="103"/>
      <c r="J28" s="103"/>
      <c r="K28" s="104">
        <f>483840-483840+30240</f>
        <v>30240</v>
      </c>
      <c r="L28" s="105"/>
      <c r="M28" s="104">
        <f t="shared" si="0"/>
        <v>30240</v>
      </c>
      <c r="N28" s="104">
        <v>0</v>
      </c>
      <c r="O28" s="104">
        <f>432720-432720</f>
        <v>0</v>
      </c>
      <c r="P28" s="105"/>
      <c r="Q28" s="104">
        <f>20880-20880</f>
        <v>0</v>
      </c>
      <c r="R28" s="104">
        <f t="shared" si="1"/>
        <v>30240</v>
      </c>
      <c r="S28" s="105"/>
      <c r="T28" s="104">
        <v>30240</v>
      </c>
      <c r="U28" s="105"/>
      <c r="V28" s="105"/>
      <c r="W28" s="105"/>
      <c r="X28" s="105"/>
      <c r="Y28" s="9">
        <f>IFERROR(VLOOKUP(B28,'[1]2122 Veterans Count'!$J:$M,4,FALSE),0)</f>
        <v>0</v>
      </c>
      <c r="Z28" s="97">
        <f t="shared" si="2"/>
        <v>0</v>
      </c>
    </row>
    <row r="29" spans="1:26" x14ac:dyDescent="0.25">
      <c r="A29" s="101" t="s">
        <v>48</v>
      </c>
      <c r="B29" s="102">
        <v>4100208345.8395</v>
      </c>
      <c r="C29" s="101" t="s">
        <v>66</v>
      </c>
      <c r="D29" s="101" t="s">
        <v>50</v>
      </c>
      <c r="E29" s="101" t="s">
        <v>51</v>
      </c>
      <c r="F29" s="101" t="s">
        <v>52</v>
      </c>
      <c r="G29" s="103"/>
      <c r="H29" s="103"/>
      <c r="I29" s="103"/>
      <c r="J29" s="103"/>
      <c r="K29" s="104">
        <f>27550-27550</f>
        <v>0</v>
      </c>
      <c r="L29" s="105"/>
      <c r="M29" s="104">
        <f t="shared" si="0"/>
        <v>0</v>
      </c>
      <c r="N29" s="106"/>
      <c r="O29" s="104">
        <f>25650-25650</f>
        <v>0</v>
      </c>
      <c r="P29" s="105"/>
      <c r="Q29" s="104">
        <f>1900-1900</f>
        <v>0</v>
      </c>
      <c r="R29" s="104">
        <f t="shared" si="1"/>
        <v>0</v>
      </c>
      <c r="S29" s="105"/>
      <c r="T29" s="107"/>
      <c r="U29" s="105"/>
      <c r="V29" s="105"/>
      <c r="W29" s="105"/>
      <c r="X29" s="105"/>
      <c r="Y29" s="9">
        <f>IFERROR(VLOOKUP(B29,'[1]2122 Veterans Count'!$J:$M,4,FALSE),0)</f>
        <v>0</v>
      </c>
      <c r="Z29" s="97">
        <f t="shared" si="2"/>
        <v>0</v>
      </c>
    </row>
    <row r="30" spans="1:26" x14ac:dyDescent="0.25">
      <c r="A30" s="101" t="s">
        <v>48</v>
      </c>
      <c r="B30" s="102">
        <v>4100208368.8395</v>
      </c>
      <c r="C30" s="101" t="s">
        <v>67</v>
      </c>
      <c r="D30" s="101" t="s">
        <v>50</v>
      </c>
      <c r="E30" s="101" t="s">
        <v>51</v>
      </c>
      <c r="F30" s="101" t="s">
        <v>52</v>
      </c>
      <c r="G30" s="103"/>
      <c r="H30" s="103"/>
      <c r="I30" s="103"/>
      <c r="J30" s="103"/>
      <c r="K30" s="104">
        <f>34398-34398</f>
        <v>0</v>
      </c>
      <c r="L30" s="105"/>
      <c r="M30" s="104">
        <f t="shared" si="0"/>
        <v>0</v>
      </c>
      <c r="N30" s="106"/>
      <c r="O30" s="104">
        <f>34398-34398</f>
        <v>0</v>
      </c>
      <c r="P30" s="105"/>
      <c r="Q30" s="104">
        <v>0</v>
      </c>
      <c r="R30" s="104">
        <f t="shared" si="1"/>
        <v>0</v>
      </c>
      <c r="S30" s="105"/>
      <c r="T30" s="106"/>
      <c r="U30" s="105"/>
      <c r="V30" s="105"/>
      <c r="W30" s="105"/>
      <c r="X30" s="105"/>
      <c r="Y30" s="9">
        <f>IFERROR(VLOOKUP(B30,'[1]2122 Veterans Count'!$J:$M,4,FALSE),0)</f>
        <v>0</v>
      </c>
      <c r="Z30" s="97">
        <f t="shared" si="2"/>
        <v>0</v>
      </c>
    </row>
    <row r="31" spans="1:26" x14ac:dyDescent="0.25">
      <c r="A31" s="101" t="s">
        <v>48</v>
      </c>
      <c r="B31" s="102">
        <v>4100208380.8395</v>
      </c>
      <c r="C31" s="101" t="s">
        <v>68</v>
      </c>
      <c r="D31" s="101" t="s">
        <v>50</v>
      </c>
      <c r="E31" s="101" t="s">
        <v>51</v>
      </c>
      <c r="F31" s="101" t="s">
        <v>52</v>
      </c>
      <c r="G31" s="103"/>
      <c r="H31" s="103"/>
      <c r="I31" s="103"/>
      <c r="J31" s="103"/>
      <c r="K31" s="104">
        <f>200123-200123+2373</f>
        <v>2373</v>
      </c>
      <c r="L31" s="105"/>
      <c r="M31" s="104">
        <f t="shared" si="0"/>
        <v>2373</v>
      </c>
      <c r="N31" s="106"/>
      <c r="O31" s="104">
        <f>188258-188258</f>
        <v>0</v>
      </c>
      <c r="P31" s="105"/>
      <c r="Q31" s="104">
        <f>9492-9492</f>
        <v>0</v>
      </c>
      <c r="R31" s="104">
        <f t="shared" si="1"/>
        <v>2373</v>
      </c>
      <c r="S31" s="105"/>
      <c r="T31" s="108">
        <v>2373</v>
      </c>
      <c r="U31" s="105"/>
      <c r="V31" s="105"/>
      <c r="W31" s="105"/>
      <c r="X31" s="105"/>
      <c r="Y31" s="9">
        <f>IFERROR(VLOOKUP(B31,'[1]2122 Veterans Count'!$J:$M,4,FALSE),0)</f>
        <v>0</v>
      </c>
      <c r="Z31" s="97">
        <f t="shared" si="2"/>
        <v>0</v>
      </c>
    </row>
    <row r="32" spans="1:26" x14ac:dyDescent="0.25">
      <c r="A32" s="101" t="s">
        <v>48</v>
      </c>
      <c r="B32" s="102">
        <v>4100208927.8395</v>
      </c>
      <c r="C32" s="101" t="s">
        <v>69</v>
      </c>
      <c r="D32" s="101" t="s">
        <v>50</v>
      </c>
      <c r="E32" s="101" t="s">
        <v>51</v>
      </c>
      <c r="F32" s="101" t="s">
        <v>52</v>
      </c>
      <c r="G32" s="103"/>
      <c r="H32" s="103"/>
      <c r="I32" s="103"/>
      <c r="J32" s="103"/>
      <c r="K32" s="104">
        <f>4856400-4856400+562400</f>
        <v>562400</v>
      </c>
      <c r="L32" s="105"/>
      <c r="M32" s="104">
        <f t="shared" si="0"/>
        <v>562400</v>
      </c>
      <c r="N32" s="106"/>
      <c r="O32" s="104">
        <f>3838164.5383-3838164.5383</f>
        <v>0</v>
      </c>
      <c r="P32" s="105"/>
      <c r="Q32" s="104">
        <f>455835.4617-455835.4617</f>
        <v>0</v>
      </c>
      <c r="R32" s="104">
        <f t="shared" si="1"/>
        <v>562400</v>
      </c>
      <c r="S32" s="105"/>
      <c r="T32" s="104">
        <v>562400</v>
      </c>
      <c r="U32" s="105"/>
      <c r="V32" s="105"/>
      <c r="W32" s="105"/>
      <c r="X32" s="105"/>
      <c r="Y32" s="9">
        <f>IFERROR(VLOOKUP(B32,'[1]2122 Veterans Count'!$J:$M,4,FALSE),0)</f>
        <v>2.5510204081632654E-2</v>
      </c>
      <c r="Z32" s="97">
        <f t="shared" si="2"/>
        <v>14346.938775510205</v>
      </c>
    </row>
    <row r="33" spans="1:26" x14ac:dyDescent="0.25">
      <c r="A33" s="90" t="s">
        <v>48</v>
      </c>
      <c r="B33" s="91">
        <v>4100209566.7474999</v>
      </c>
      <c r="C33" s="90" t="s">
        <v>70</v>
      </c>
      <c r="D33" s="90" t="s">
        <v>50</v>
      </c>
      <c r="E33" s="90" t="s">
        <v>51</v>
      </c>
      <c r="F33" s="90" t="s">
        <v>52</v>
      </c>
      <c r="G33" s="93"/>
      <c r="H33" s="93"/>
      <c r="I33" s="93"/>
      <c r="J33" s="93"/>
      <c r="K33" s="95">
        <v>777697.47380000004</v>
      </c>
      <c r="L33" s="95">
        <v>157212.39309999999</v>
      </c>
      <c r="M33" s="95">
        <f t="shared" si="0"/>
        <v>934909.86690000002</v>
      </c>
      <c r="N33" s="95">
        <v>453447.97629999998</v>
      </c>
      <c r="O33" s="95">
        <v>0</v>
      </c>
      <c r="P33" s="96"/>
      <c r="Q33" s="95">
        <v>33846.185400000002</v>
      </c>
      <c r="R33" s="95">
        <f t="shared" si="1"/>
        <v>447615.70520000003</v>
      </c>
      <c r="S33" s="96"/>
      <c r="T33" s="95">
        <v>447615.70520000003</v>
      </c>
      <c r="U33" s="96"/>
      <c r="V33" s="96"/>
      <c r="W33" s="96"/>
      <c r="X33" s="96"/>
      <c r="Y33" s="9">
        <f>IFERROR(VLOOKUP(B33,'[1]2122 Veterans Count'!$J:$M,4,FALSE),0)</f>
        <v>4.790419161676647E-2</v>
      </c>
      <c r="Z33" s="97">
        <f t="shared" si="2"/>
        <v>21442.668512574852</v>
      </c>
    </row>
    <row r="34" spans="1:26" x14ac:dyDescent="0.25">
      <c r="A34" s="90" t="s">
        <v>48</v>
      </c>
      <c r="B34" s="91">
        <v>4100223513.7466002</v>
      </c>
      <c r="C34" s="90" t="s">
        <v>71</v>
      </c>
      <c r="D34" s="90" t="s">
        <v>50</v>
      </c>
      <c r="E34" s="90" t="s">
        <v>51</v>
      </c>
      <c r="F34" s="90" t="s">
        <v>52</v>
      </c>
      <c r="G34" s="93"/>
      <c r="H34" s="93"/>
      <c r="I34" s="93"/>
      <c r="J34" s="93"/>
      <c r="K34" s="95">
        <v>210602.50450000001</v>
      </c>
      <c r="L34" s="95">
        <v>57153.725700000003</v>
      </c>
      <c r="M34" s="95">
        <f t="shared" si="0"/>
        <v>267756.23019999999</v>
      </c>
      <c r="N34" s="95">
        <v>118158.74890000001</v>
      </c>
      <c r="O34" s="95">
        <v>0</v>
      </c>
      <c r="P34" s="96"/>
      <c r="Q34" s="95">
        <v>38192.070099999997</v>
      </c>
      <c r="R34" s="95">
        <f t="shared" si="1"/>
        <v>111405.4112</v>
      </c>
      <c r="S34" s="96"/>
      <c r="T34" s="95">
        <v>111405.4112</v>
      </c>
      <c r="U34" s="96"/>
      <c r="V34" s="96"/>
      <c r="W34" s="109"/>
      <c r="X34" s="96"/>
      <c r="Y34" s="9">
        <f>IFERROR(VLOOKUP(B34,'[1]2122 Veterans Count'!$J:$M,4,FALSE),0)</f>
        <v>0</v>
      </c>
      <c r="Z34" s="97">
        <f t="shared" si="2"/>
        <v>0</v>
      </c>
    </row>
    <row r="35" spans="1:26" x14ac:dyDescent="0.25">
      <c r="A35" s="90" t="s">
        <v>48</v>
      </c>
      <c r="B35" s="91">
        <v>4100202609.7474999</v>
      </c>
      <c r="C35" s="90" t="s">
        <v>72</v>
      </c>
      <c r="D35" s="90" t="s">
        <v>50</v>
      </c>
      <c r="E35" s="90" t="s">
        <v>51</v>
      </c>
      <c r="F35" s="90" t="s">
        <v>73</v>
      </c>
      <c r="G35" s="93"/>
      <c r="H35" s="93"/>
      <c r="I35" s="93"/>
      <c r="J35" s="93"/>
      <c r="K35" s="95">
        <v>74673.286999999997</v>
      </c>
      <c r="L35" s="100">
        <v>8115.5781999999999</v>
      </c>
      <c r="M35" s="95">
        <f t="shared" si="0"/>
        <v>82788.8652</v>
      </c>
      <c r="N35" s="95">
        <v>51613.602099999996</v>
      </c>
      <c r="O35" s="95">
        <v>0</v>
      </c>
      <c r="P35" s="96"/>
      <c r="Q35" s="95">
        <v>14187.613799999999</v>
      </c>
      <c r="R35" s="95">
        <f t="shared" si="1"/>
        <v>16987.649399999998</v>
      </c>
      <c r="S35" s="96"/>
      <c r="T35" s="95">
        <v>16987.649399999998</v>
      </c>
      <c r="U35" s="96"/>
      <c r="V35" s="96"/>
      <c r="W35" s="96"/>
      <c r="X35" s="96"/>
      <c r="Y35" s="9">
        <f>IFERROR(VLOOKUP(B35,'[1]2122 Veterans Count'!$J:$M,4,FALSE),0)</f>
        <v>0</v>
      </c>
      <c r="Z35" s="97">
        <f t="shared" si="2"/>
        <v>0</v>
      </c>
    </row>
    <row r="36" spans="1:26" x14ac:dyDescent="0.25">
      <c r="A36" s="90" t="s">
        <v>48</v>
      </c>
      <c r="B36" s="91">
        <v>4100202610.7474999</v>
      </c>
      <c r="C36" s="90" t="s">
        <v>74</v>
      </c>
      <c r="D36" s="90" t="s">
        <v>50</v>
      </c>
      <c r="E36" s="90" t="s">
        <v>51</v>
      </c>
      <c r="F36" s="90" t="s">
        <v>73</v>
      </c>
      <c r="G36" s="93"/>
      <c r="H36" s="93"/>
      <c r="I36" s="93"/>
      <c r="J36" s="93"/>
      <c r="K36" s="95">
        <v>151892.1974</v>
      </c>
      <c r="L36" s="95">
        <v>47079.624300000003</v>
      </c>
      <c r="M36" s="95">
        <f t="shared" si="0"/>
        <v>198971.8217</v>
      </c>
      <c r="N36" s="95">
        <v>125557.3412</v>
      </c>
      <c r="O36" s="100">
        <v>0</v>
      </c>
      <c r="P36" s="96"/>
      <c r="Q36" s="95">
        <v>43581.416599999997</v>
      </c>
      <c r="R36" s="95">
        <f t="shared" si="1"/>
        <v>29833.063900000001</v>
      </c>
      <c r="S36" s="96"/>
      <c r="T36" s="95">
        <v>29833.063900000001</v>
      </c>
      <c r="U36" s="96"/>
      <c r="V36" s="96"/>
      <c r="W36" s="96"/>
      <c r="X36" s="96"/>
      <c r="Y36" s="9">
        <f>IFERROR(VLOOKUP(B36,'[1]2122 Veterans Count'!$J:$M,4,FALSE),0)</f>
        <v>0</v>
      </c>
      <c r="Z36" s="97">
        <f t="shared" si="2"/>
        <v>0</v>
      </c>
    </row>
    <row r="37" spans="1:26" x14ac:dyDescent="0.25">
      <c r="A37" s="110" t="s">
        <v>48</v>
      </c>
      <c r="B37" s="111">
        <v>4100202685.7474999</v>
      </c>
      <c r="C37" s="110" t="s">
        <v>75</v>
      </c>
      <c r="D37" s="110" t="s">
        <v>50</v>
      </c>
      <c r="E37" s="110" t="s">
        <v>51</v>
      </c>
      <c r="F37" s="110" t="s">
        <v>73</v>
      </c>
      <c r="G37" s="112"/>
      <c r="H37" s="112"/>
      <c r="I37" s="112"/>
      <c r="J37" s="112"/>
      <c r="K37" s="113">
        <v>2278633.3706999999</v>
      </c>
      <c r="L37" s="113">
        <v>435902.58110000001</v>
      </c>
      <c r="M37" s="113">
        <f t="shared" si="0"/>
        <v>2714535.9517999999</v>
      </c>
      <c r="N37" s="113">
        <v>1382912.4756</v>
      </c>
      <c r="O37" s="113">
        <v>0</v>
      </c>
      <c r="P37" s="114"/>
      <c r="Q37" s="113">
        <v>1331623.4761999999</v>
      </c>
      <c r="R37" s="113">
        <f t="shared" si="1"/>
        <v>0</v>
      </c>
      <c r="S37" s="114"/>
      <c r="T37" s="113">
        <v>0</v>
      </c>
      <c r="U37" s="114"/>
      <c r="V37" s="114"/>
      <c r="W37" s="114"/>
      <c r="X37" s="114"/>
      <c r="Y37" s="9">
        <f>IFERROR(VLOOKUP(B37,'[1]2122 Veterans Count'!$J:$M,4,FALSE),0)</f>
        <v>0</v>
      </c>
      <c r="Z37" s="97">
        <f t="shared" si="2"/>
        <v>0</v>
      </c>
    </row>
    <row r="38" spans="1:26" x14ac:dyDescent="0.25">
      <c r="A38" s="90" t="s">
        <v>48</v>
      </c>
      <c r="B38" s="91">
        <v>4100202808.7474999</v>
      </c>
      <c r="C38" s="90" t="s">
        <v>76</v>
      </c>
      <c r="D38" s="90" t="s">
        <v>50</v>
      </c>
      <c r="E38" s="90" t="s">
        <v>51</v>
      </c>
      <c r="F38" s="90" t="s">
        <v>73</v>
      </c>
      <c r="G38" s="93"/>
      <c r="H38" s="93"/>
      <c r="I38" s="93"/>
      <c r="J38" s="93"/>
      <c r="K38" s="95">
        <v>603542.53139999998</v>
      </c>
      <c r="L38" s="95">
        <v>173264.09220000001</v>
      </c>
      <c r="M38" s="95">
        <f t="shared" si="0"/>
        <v>776806.62360000005</v>
      </c>
      <c r="N38" s="95">
        <v>461154.22409999999</v>
      </c>
      <c r="O38" s="95">
        <v>0</v>
      </c>
      <c r="P38" s="96"/>
      <c r="Q38" s="95">
        <v>282198.56559999997</v>
      </c>
      <c r="R38" s="95">
        <f t="shared" si="1"/>
        <v>33453.833899999998</v>
      </c>
      <c r="S38" s="96"/>
      <c r="T38" s="95">
        <v>33453.833899999998</v>
      </c>
      <c r="U38" s="96"/>
      <c r="V38" s="96"/>
      <c r="W38" s="96"/>
      <c r="X38" s="96"/>
      <c r="Y38" s="9">
        <f>IFERROR(VLOOKUP(B38,'[1]2122 Veterans Count'!$J:$M,4,FALSE),0)</f>
        <v>0.25</v>
      </c>
      <c r="Z38" s="97">
        <f t="shared" si="2"/>
        <v>8363.4584749999995</v>
      </c>
    </row>
    <row r="39" spans="1:26" x14ac:dyDescent="0.25">
      <c r="A39" s="90" t="s">
        <v>48</v>
      </c>
      <c r="B39" s="91">
        <v>4100202973.7474999</v>
      </c>
      <c r="C39" s="90" t="s">
        <v>77</v>
      </c>
      <c r="D39" s="90" t="s">
        <v>50</v>
      </c>
      <c r="E39" s="90" t="s">
        <v>51</v>
      </c>
      <c r="F39" s="90" t="s">
        <v>73</v>
      </c>
      <c r="G39" s="93"/>
      <c r="H39" s="93"/>
      <c r="I39" s="93"/>
      <c r="J39" s="93"/>
      <c r="K39" s="95">
        <v>40658.069100000001</v>
      </c>
      <c r="L39" s="95">
        <v>11949.4594</v>
      </c>
      <c r="M39" s="95">
        <f t="shared" si="0"/>
        <v>52607.5285</v>
      </c>
      <c r="N39" s="95">
        <v>30983.371299999999</v>
      </c>
      <c r="O39" s="95">
        <v>0</v>
      </c>
      <c r="P39" s="96"/>
      <c r="Q39" s="95">
        <v>3666.1239</v>
      </c>
      <c r="R39" s="95">
        <f t="shared" si="1"/>
        <v>17958.033299999999</v>
      </c>
      <c r="S39" s="96"/>
      <c r="T39" s="95">
        <v>17958.033299999999</v>
      </c>
      <c r="U39" s="96"/>
      <c r="V39" s="96"/>
      <c r="W39" s="96"/>
      <c r="X39" s="96"/>
      <c r="Y39" s="9">
        <f>IFERROR(VLOOKUP(B39,'[1]2122 Veterans Count'!$J:$M,4,FALSE),0)</f>
        <v>0</v>
      </c>
      <c r="Z39" s="97">
        <f t="shared" si="2"/>
        <v>0</v>
      </c>
    </row>
    <row r="40" spans="1:26" x14ac:dyDescent="0.25">
      <c r="A40" s="90" t="s">
        <v>48</v>
      </c>
      <c r="B40" s="91">
        <v>4100203169.7474999</v>
      </c>
      <c r="C40" s="90" t="s">
        <v>78</v>
      </c>
      <c r="D40" s="90" t="s">
        <v>50</v>
      </c>
      <c r="E40" s="90" t="s">
        <v>51</v>
      </c>
      <c r="F40" s="90" t="s">
        <v>73</v>
      </c>
      <c r="G40" s="93"/>
      <c r="H40" s="93"/>
      <c r="I40" s="93"/>
      <c r="J40" s="93"/>
      <c r="K40" s="95">
        <v>1755092.9</v>
      </c>
      <c r="L40" s="115"/>
      <c r="M40" s="95">
        <f t="shared" si="0"/>
        <v>1755092.9</v>
      </c>
      <c r="N40" s="95">
        <v>939732.71360000002</v>
      </c>
      <c r="O40" s="95">
        <v>0</v>
      </c>
      <c r="P40" s="96"/>
      <c r="Q40" s="95">
        <v>810410.76650000003</v>
      </c>
      <c r="R40" s="95">
        <f t="shared" si="1"/>
        <v>4949.4197999999997</v>
      </c>
      <c r="S40" s="96"/>
      <c r="T40" s="95">
        <v>4949.4197999999997</v>
      </c>
      <c r="U40" s="96"/>
      <c r="V40" s="96"/>
      <c r="W40" s="96"/>
      <c r="X40" s="96"/>
      <c r="Y40" s="9">
        <f>IFERROR(VLOOKUP(B40,'[1]2122 Veterans Count'!$J:$M,4,FALSE),0)</f>
        <v>0</v>
      </c>
      <c r="Z40" s="97">
        <f t="shared" si="2"/>
        <v>0</v>
      </c>
    </row>
    <row r="41" spans="1:26" x14ac:dyDescent="0.25">
      <c r="A41" s="90" t="s">
        <v>48</v>
      </c>
      <c r="B41" s="91">
        <v>4100203503.7474999</v>
      </c>
      <c r="C41" s="90" t="s">
        <v>79</v>
      </c>
      <c r="D41" s="90" t="s">
        <v>50</v>
      </c>
      <c r="E41" s="90" t="s">
        <v>51</v>
      </c>
      <c r="F41" s="90" t="s">
        <v>73</v>
      </c>
      <c r="G41" s="93"/>
      <c r="H41" s="93"/>
      <c r="I41" s="93"/>
      <c r="J41" s="93"/>
      <c r="K41" s="95">
        <v>202421.26259999999</v>
      </c>
      <c r="L41" s="95">
        <v>44448.888800000001</v>
      </c>
      <c r="M41" s="95">
        <f t="shared" si="0"/>
        <v>246870.15139999997</v>
      </c>
      <c r="N41" s="95">
        <v>163669.6813</v>
      </c>
      <c r="O41" s="95">
        <v>0</v>
      </c>
      <c r="P41" s="96"/>
      <c r="Q41" s="95">
        <v>28470.2703</v>
      </c>
      <c r="R41" s="95">
        <f t="shared" si="1"/>
        <v>54730.199800000002</v>
      </c>
      <c r="S41" s="96"/>
      <c r="T41" s="95">
        <v>54730.199800000002</v>
      </c>
      <c r="U41" s="96"/>
      <c r="V41" s="96"/>
      <c r="W41" s="96"/>
      <c r="X41" s="96"/>
      <c r="Y41" s="9">
        <f>IFERROR(VLOOKUP(B41,'[1]2122 Veterans Count'!$J:$M,4,FALSE),0)</f>
        <v>0</v>
      </c>
      <c r="Z41" s="97">
        <f t="shared" si="2"/>
        <v>0</v>
      </c>
    </row>
    <row r="42" spans="1:26" x14ac:dyDescent="0.25">
      <c r="A42" s="90" t="s">
        <v>48</v>
      </c>
      <c r="B42" s="91">
        <v>4100203616.7474999</v>
      </c>
      <c r="C42" s="90" t="s">
        <v>80</v>
      </c>
      <c r="D42" s="90" t="s">
        <v>50</v>
      </c>
      <c r="E42" s="90" t="s">
        <v>51</v>
      </c>
      <c r="F42" s="90" t="s">
        <v>73</v>
      </c>
      <c r="G42" s="93"/>
      <c r="H42" s="93"/>
      <c r="I42" s="93"/>
      <c r="J42" s="93"/>
      <c r="K42" s="95">
        <v>216423.73550000001</v>
      </c>
      <c r="L42" s="95">
        <v>56949.466</v>
      </c>
      <c r="M42" s="95">
        <f t="shared" si="0"/>
        <v>273373.20150000002</v>
      </c>
      <c r="N42" s="95">
        <v>196337.34640000001</v>
      </c>
      <c r="O42" s="95">
        <v>0</v>
      </c>
      <c r="P42" s="96"/>
      <c r="Q42" s="95">
        <v>11890.9967</v>
      </c>
      <c r="R42" s="95">
        <f t="shared" si="1"/>
        <v>65144.858500000002</v>
      </c>
      <c r="S42" s="96"/>
      <c r="T42" s="95">
        <v>65144.858500000002</v>
      </c>
      <c r="U42" s="96"/>
      <c r="V42" s="96"/>
      <c r="W42" s="96"/>
      <c r="X42" s="96"/>
      <c r="Y42" s="9">
        <f>IFERROR(VLOOKUP(B42,'[1]2122 Veterans Count'!$J:$M,4,FALSE),0)</f>
        <v>0</v>
      </c>
      <c r="Z42" s="97">
        <f t="shared" si="2"/>
        <v>0</v>
      </c>
    </row>
    <row r="43" spans="1:26" x14ac:dyDescent="0.25">
      <c r="A43" s="90" t="s">
        <v>48</v>
      </c>
      <c r="B43" s="91">
        <v>4100203617.7474999</v>
      </c>
      <c r="C43" s="90" t="s">
        <v>81</v>
      </c>
      <c r="D43" s="90" t="s">
        <v>50</v>
      </c>
      <c r="E43" s="90" t="s">
        <v>51</v>
      </c>
      <c r="F43" s="90" t="s">
        <v>73</v>
      </c>
      <c r="G43" s="93"/>
      <c r="H43" s="93"/>
      <c r="I43" s="93"/>
      <c r="J43" s="93"/>
      <c r="K43" s="95">
        <v>66365.067999999999</v>
      </c>
      <c r="L43" s="95">
        <v>18362.768800000002</v>
      </c>
      <c r="M43" s="95">
        <f t="shared" si="0"/>
        <v>84727.836800000005</v>
      </c>
      <c r="N43" s="95">
        <v>30350.267100000001</v>
      </c>
      <c r="O43" s="95">
        <v>0</v>
      </c>
      <c r="P43" s="100">
        <v>28946.611199999999</v>
      </c>
      <c r="Q43" s="95">
        <v>16209.057000000001</v>
      </c>
      <c r="R43" s="95">
        <f t="shared" si="1"/>
        <v>9221.9014999999999</v>
      </c>
      <c r="S43" s="96"/>
      <c r="T43" s="95">
        <v>9221.9014999999999</v>
      </c>
      <c r="U43" s="96"/>
      <c r="V43" s="96"/>
      <c r="W43" s="96"/>
      <c r="X43" s="96"/>
      <c r="Y43" s="9">
        <f>IFERROR(VLOOKUP(B43,'[1]2122 Veterans Count'!$J:$M,4,FALSE),0)</f>
        <v>0</v>
      </c>
      <c r="Z43" s="97">
        <f t="shared" si="2"/>
        <v>0</v>
      </c>
    </row>
    <row r="44" spans="1:26" x14ac:dyDescent="0.25">
      <c r="A44" s="110" t="s">
        <v>48</v>
      </c>
      <c r="B44" s="111">
        <v>4100203696.7474999</v>
      </c>
      <c r="C44" s="110" t="s">
        <v>82</v>
      </c>
      <c r="D44" s="110" t="s">
        <v>50</v>
      </c>
      <c r="E44" s="110" t="s">
        <v>51</v>
      </c>
      <c r="F44" s="110" t="s">
        <v>73</v>
      </c>
      <c r="G44" s="112"/>
      <c r="H44" s="112"/>
      <c r="I44" s="112"/>
      <c r="J44" s="112"/>
      <c r="K44" s="113">
        <v>299308.20649999997</v>
      </c>
      <c r="L44" s="113">
        <v>83761.973700000002</v>
      </c>
      <c r="M44" s="113">
        <f t="shared" si="0"/>
        <v>383070.18019999994</v>
      </c>
      <c r="N44" s="113">
        <v>0</v>
      </c>
      <c r="O44" s="116"/>
      <c r="P44" s="114"/>
      <c r="Q44" s="113">
        <v>383070.1802</v>
      </c>
      <c r="R44" s="113">
        <f t="shared" si="1"/>
        <v>0</v>
      </c>
      <c r="S44" s="114"/>
      <c r="T44" s="113">
        <v>0</v>
      </c>
      <c r="U44" s="114"/>
      <c r="V44" s="114"/>
      <c r="W44" s="114"/>
      <c r="X44" s="114"/>
      <c r="Y44" s="9">
        <f>IFERROR(VLOOKUP(B44,'[1]2122 Veterans Count'!$J:$M,4,FALSE),0)</f>
        <v>0</v>
      </c>
      <c r="Z44" s="97">
        <f t="shared" si="2"/>
        <v>0</v>
      </c>
    </row>
    <row r="45" spans="1:26" x14ac:dyDescent="0.25">
      <c r="A45" s="110" t="s">
        <v>48</v>
      </c>
      <c r="B45" s="111">
        <v>4100203731.7474999</v>
      </c>
      <c r="C45" s="110" t="s">
        <v>83</v>
      </c>
      <c r="D45" s="110" t="s">
        <v>50</v>
      </c>
      <c r="E45" s="110" t="s">
        <v>51</v>
      </c>
      <c r="F45" s="110" t="s">
        <v>73</v>
      </c>
      <c r="G45" s="112"/>
      <c r="H45" s="112"/>
      <c r="I45" s="112"/>
      <c r="J45" s="112"/>
      <c r="K45" s="113">
        <v>2026834.4794000001</v>
      </c>
      <c r="L45" s="113">
        <v>477492.9571</v>
      </c>
      <c r="M45" s="113">
        <f t="shared" si="0"/>
        <v>2504327.4364999998</v>
      </c>
      <c r="N45" s="113">
        <v>1289978.9713000001</v>
      </c>
      <c r="O45" s="113">
        <v>0</v>
      </c>
      <c r="P45" s="117"/>
      <c r="Q45" s="113">
        <v>1214348.4652</v>
      </c>
      <c r="R45" s="113">
        <f t="shared" si="1"/>
        <v>0</v>
      </c>
      <c r="S45" s="114"/>
      <c r="T45" s="113">
        <v>0</v>
      </c>
      <c r="U45" s="114"/>
      <c r="V45" s="114"/>
      <c r="W45" s="114"/>
      <c r="X45" s="114"/>
      <c r="Y45" s="9">
        <f>IFERROR(VLOOKUP(B45,'[1]2122 Veterans Count'!$J:$M,4,FALSE),0)</f>
        <v>0</v>
      </c>
      <c r="Z45" s="97">
        <f t="shared" si="2"/>
        <v>0</v>
      </c>
    </row>
    <row r="46" spans="1:26" x14ac:dyDescent="0.25">
      <c r="A46" s="90" t="s">
        <v>48</v>
      </c>
      <c r="B46" s="91">
        <v>4100203809.7474999</v>
      </c>
      <c r="C46" s="90" t="s">
        <v>84</v>
      </c>
      <c r="D46" s="90" t="s">
        <v>50</v>
      </c>
      <c r="E46" s="90" t="s">
        <v>51</v>
      </c>
      <c r="F46" s="90" t="s">
        <v>73</v>
      </c>
      <c r="G46" s="93"/>
      <c r="H46" s="93"/>
      <c r="I46" s="93"/>
      <c r="J46" s="93"/>
      <c r="K46" s="95">
        <v>3067584.2656999999</v>
      </c>
      <c r="L46" s="95">
        <v>268748.98629999999</v>
      </c>
      <c r="M46" s="95">
        <f t="shared" si="0"/>
        <v>3336333.2519999999</v>
      </c>
      <c r="N46" s="95">
        <v>1369083.493</v>
      </c>
      <c r="O46" s="95">
        <v>0</v>
      </c>
      <c r="P46" s="96"/>
      <c r="Q46" s="95">
        <v>1376830.7611</v>
      </c>
      <c r="R46" s="95">
        <f t="shared" si="1"/>
        <v>590418.99800000002</v>
      </c>
      <c r="S46" s="96"/>
      <c r="T46" s="95">
        <v>590418.99800000002</v>
      </c>
      <c r="U46" s="96"/>
      <c r="V46" s="96"/>
      <c r="W46" s="96"/>
      <c r="X46" s="96"/>
      <c r="Y46" s="9">
        <f>IFERROR(VLOOKUP(B46,'[1]2122 Veterans Count'!$J:$M,4,FALSE),0)</f>
        <v>0</v>
      </c>
      <c r="Z46" s="97">
        <f t="shared" si="2"/>
        <v>0</v>
      </c>
    </row>
    <row r="47" spans="1:26" x14ac:dyDescent="0.25">
      <c r="A47" s="90" t="s">
        <v>48</v>
      </c>
      <c r="B47" s="91">
        <v>4100205505.7474999</v>
      </c>
      <c r="C47" s="90" t="s">
        <v>85</v>
      </c>
      <c r="D47" s="90" t="s">
        <v>50</v>
      </c>
      <c r="E47" s="90" t="s">
        <v>51</v>
      </c>
      <c r="F47" s="90" t="s">
        <v>73</v>
      </c>
      <c r="G47" s="93"/>
      <c r="H47" s="93"/>
      <c r="I47" s="93"/>
      <c r="J47" s="93"/>
      <c r="K47" s="95">
        <v>401282.1127</v>
      </c>
      <c r="L47" s="95">
        <v>128400.217</v>
      </c>
      <c r="M47" s="95">
        <f t="shared" si="0"/>
        <v>529682.3297</v>
      </c>
      <c r="N47" s="95">
        <v>274654.33309999999</v>
      </c>
      <c r="O47" s="95">
        <v>0</v>
      </c>
      <c r="P47" s="109"/>
      <c r="Q47" s="95">
        <v>206195.0172</v>
      </c>
      <c r="R47" s="95">
        <f t="shared" si="1"/>
        <v>48832.979399999997</v>
      </c>
      <c r="S47" s="96"/>
      <c r="T47" s="95">
        <v>48832.979399999997</v>
      </c>
      <c r="U47" s="96"/>
      <c r="V47" s="96"/>
      <c r="W47" s="96"/>
      <c r="X47" s="96"/>
      <c r="Y47" s="9">
        <f>IFERROR(VLOOKUP(B47,'[1]2122 Veterans Count'!$J:$M,4,FALSE),0)</f>
        <v>0</v>
      </c>
      <c r="Z47" s="97">
        <f t="shared" si="2"/>
        <v>0</v>
      </c>
    </row>
    <row r="48" spans="1:26" x14ac:dyDescent="0.25">
      <c r="A48" s="90" t="s">
        <v>48</v>
      </c>
      <c r="B48" s="91">
        <v>4100205571.7474999</v>
      </c>
      <c r="C48" s="90" t="s">
        <v>86</v>
      </c>
      <c r="D48" s="90" t="s">
        <v>50</v>
      </c>
      <c r="E48" s="90" t="s">
        <v>51</v>
      </c>
      <c r="F48" s="90" t="s">
        <v>73</v>
      </c>
      <c r="G48" s="93"/>
      <c r="H48" s="93"/>
      <c r="I48" s="93"/>
      <c r="J48" s="93"/>
      <c r="K48" s="95">
        <v>166490.1183</v>
      </c>
      <c r="L48" s="95">
        <v>53747.438699999999</v>
      </c>
      <c r="M48" s="95">
        <f t="shared" si="0"/>
        <v>220237.557</v>
      </c>
      <c r="N48" s="95">
        <v>142746.76819999999</v>
      </c>
      <c r="O48" s="95">
        <v>0</v>
      </c>
      <c r="P48" s="96"/>
      <c r="Q48" s="95">
        <v>47209.317900000002</v>
      </c>
      <c r="R48" s="95">
        <f t="shared" si="1"/>
        <v>30281.4709</v>
      </c>
      <c r="S48" s="96"/>
      <c r="T48" s="95">
        <v>30281.4709</v>
      </c>
      <c r="U48" s="96"/>
      <c r="V48" s="96"/>
      <c r="W48" s="96"/>
      <c r="X48" s="96"/>
      <c r="Y48" s="9">
        <f>IFERROR(VLOOKUP(B48,'[1]2122 Veterans Count'!$J:$M,4,FALSE),0)</f>
        <v>0</v>
      </c>
      <c r="Z48" s="97">
        <f t="shared" si="2"/>
        <v>0</v>
      </c>
    </row>
    <row r="49" spans="1:26" x14ac:dyDescent="0.25">
      <c r="A49" s="90" t="s">
        <v>48</v>
      </c>
      <c r="B49" s="91">
        <v>4100205629.7474999</v>
      </c>
      <c r="C49" s="90" t="s">
        <v>87</v>
      </c>
      <c r="D49" s="90" t="s">
        <v>50</v>
      </c>
      <c r="E49" s="90" t="s">
        <v>51</v>
      </c>
      <c r="F49" s="90" t="s">
        <v>73</v>
      </c>
      <c r="G49" s="93"/>
      <c r="H49" s="93"/>
      <c r="I49" s="93"/>
      <c r="J49" s="93"/>
      <c r="K49" s="95">
        <v>413979.25760000001</v>
      </c>
      <c r="L49" s="95">
        <v>84249.248999999996</v>
      </c>
      <c r="M49" s="95">
        <f t="shared" si="0"/>
        <v>498228.50660000002</v>
      </c>
      <c r="N49" s="95">
        <v>311206.44040000002</v>
      </c>
      <c r="O49" s="95">
        <v>0</v>
      </c>
      <c r="P49" s="96"/>
      <c r="Q49" s="95">
        <v>111419.015</v>
      </c>
      <c r="R49" s="95">
        <f t="shared" si="1"/>
        <v>75603.051200000002</v>
      </c>
      <c r="S49" s="96"/>
      <c r="T49" s="95">
        <v>75603.051200000002</v>
      </c>
      <c r="U49" s="96"/>
      <c r="V49" s="96"/>
      <c r="W49" s="96"/>
      <c r="X49" s="96"/>
      <c r="Y49" s="9">
        <f>IFERROR(VLOOKUP(B49,'[1]2122 Veterans Count'!$J:$M,4,FALSE),0)</f>
        <v>0</v>
      </c>
      <c r="Z49" s="97">
        <f t="shared" si="2"/>
        <v>0</v>
      </c>
    </row>
    <row r="50" spans="1:26" x14ac:dyDescent="0.25">
      <c r="A50" s="90" t="s">
        <v>48</v>
      </c>
      <c r="B50" s="91">
        <v>4100205630.7474999</v>
      </c>
      <c r="C50" s="90" t="s">
        <v>88</v>
      </c>
      <c r="D50" s="90" t="s">
        <v>50</v>
      </c>
      <c r="E50" s="90" t="s">
        <v>51</v>
      </c>
      <c r="F50" s="90" t="s">
        <v>73</v>
      </c>
      <c r="G50" s="93"/>
      <c r="H50" s="93"/>
      <c r="I50" s="93"/>
      <c r="J50" s="93"/>
      <c r="K50" s="95">
        <v>145447.74359999999</v>
      </c>
      <c r="L50" s="95">
        <v>35244.125899999999</v>
      </c>
      <c r="M50" s="95">
        <f t="shared" si="0"/>
        <v>180691.86949999997</v>
      </c>
      <c r="N50" s="95">
        <v>25516.211899999998</v>
      </c>
      <c r="O50" s="95">
        <v>0</v>
      </c>
      <c r="P50" s="96"/>
      <c r="Q50" s="95">
        <v>12475.005300000001</v>
      </c>
      <c r="R50" s="95">
        <f t="shared" si="1"/>
        <v>142700.65229999999</v>
      </c>
      <c r="S50" s="96"/>
      <c r="T50" s="95">
        <v>142700.65229999999</v>
      </c>
      <c r="U50" s="96"/>
      <c r="V50" s="96"/>
      <c r="W50" s="96"/>
      <c r="X50" s="96"/>
      <c r="Y50" s="9">
        <f>IFERROR(VLOOKUP(B50,'[1]2122 Veterans Count'!$J:$M,4,FALSE),0)</f>
        <v>0</v>
      </c>
      <c r="Z50" s="97">
        <f t="shared" si="2"/>
        <v>0</v>
      </c>
    </row>
    <row r="51" spans="1:26" x14ac:dyDescent="0.25">
      <c r="A51" s="90" t="s">
        <v>48</v>
      </c>
      <c r="B51" s="91">
        <v>4100205632.7474999</v>
      </c>
      <c r="C51" s="90" t="s">
        <v>89</v>
      </c>
      <c r="D51" s="90" t="s">
        <v>50</v>
      </c>
      <c r="E51" s="90" t="s">
        <v>51</v>
      </c>
      <c r="F51" s="90" t="s">
        <v>73</v>
      </c>
      <c r="G51" s="93"/>
      <c r="H51" s="93"/>
      <c r="I51" s="93"/>
      <c r="J51" s="93"/>
      <c r="K51" s="95">
        <v>476573.05430000002</v>
      </c>
      <c r="L51" s="95">
        <v>156359.59770000001</v>
      </c>
      <c r="M51" s="95">
        <f t="shared" si="0"/>
        <v>632932.652</v>
      </c>
      <c r="N51" s="95">
        <v>434371.33850000001</v>
      </c>
      <c r="O51" s="95">
        <v>0</v>
      </c>
      <c r="P51" s="96"/>
      <c r="Q51" s="95">
        <v>57688.752099999998</v>
      </c>
      <c r="R51" s="95">
        <f t="shared" si="1"/>
        <v>140872.56150000001</v>
      </c>
      <c r="S51" s="96"/>
      <c r="T51" s="95">
        <v>140872.56150000001</v>
      </c>
      <c r="U51" s="96"/>
      <c r="V51" s="96"/>
      <c r="W51" s="96"/>
      <c r="X51" s="96"/>
      <c r="Y51" s="9">
        <f>IFERROR(VLOOKUP(B51,'[1]2122 Veterans Count'!$J:$M,4,FALSE),0)</f>
        <v>0</v>
      </c>
      <c r="Z51" s="97">
        <f t="shared" si="2"/>
        <v>0</v>
      </c>
    </row>
    <row r="52" spans="1:26" x14ac:dyDescent="0.25">
      <c r="A52" s="110" t="s">
        <v>48</v>
      </c>
      <c r="B52" s="111">
        <v>4100205689.7474999</v>
      </c>
      <c r="C52" s="110" t="s">
        <v>90</v>
      </c>
      <c r="D52" s="110" t="s">
        <v>50</v>
      </c>
      <c r="E52" s="110" t="s">
        <v>51</v>
      </c>
      <c r="F52" s="110" t="s">
        <v>73</v>
      </c>
      <c r="G52" s="112"/>
      <c r="H52" s="112"/>
      <c r="I52" s="112"/>
      <c r="J52" s="112"/>
      <c r="K52" s="113">
        <v>2047782.4663</v>
      </c>
      <c r="L52" s="113">
        <v>394674.65010000003</v>
      </c>
      <c r="M52" s="113">
        <f t="shared" si="0"/>
        <v>2442457.1164000002</v>
      </c>
      <c r="N52" s="113">
        <v>801307.1274</v>
      </c>
      <c r="O52" s="113">
        <v>0</v>
      </c>
      <c r="P52" s="114"/>
      <c r="Q52" s="113">
        <v>1641149.9890000001</v>
      </c>
      <c r="R52" s="113">
        <f t="shared" si="1"/>
        <v>0</v>
      </c>
      <c r="S52" s="114"/>
      <c r="T52" s="113">
        <v>0</v>
      </c>
      <c r="U52" s="114"/>
      <c r="V52" s="114"/>
      <c r="W52" s="114"/>
      <c r="X52" s="114"/>
      <c r="Y52" s="9">
        <f>IFERROR(VLOOKUP(B52,'[1]2122 Veterans Count'!$J:$M,4,FALSE),0)</f>
        <v>0</v>
      </c>
      <c r="Z52" s="97">
        <f t="shared" si="2"/>
        <v>0</v>
      </c>
    </row>
    <row r="53" spans="1:26" x14ac:dyDescent="0.25">
      <c r="A53" s="90" t="s">
        <v>48</v>
      </c>
      <c r="B53" s="91">
        <v>4100202769.7474999</v>
      </c>
      <c r="C53" s="90" t="s">
        <v>91</v>
      </c>
      <c r="D53" s="90" t="s">
        <v>50</v>
      </c>
      <c r="E53" s="90" t="s">
        <v>51</v>
      </c>
      <c r="F53" s="90" t="s">
        <v>92</v>
      </c>
      <c r="G53" s="93"/>
      <c r="H53" s="93"/>
      <c r="I53" s="93"/>
      <c r="J53" s="93"/>
      <c r="K53" s="95">
        <v>43029.866399999999</v>
      </c>
      <c r="L53" s="95">
        <v>11719.1286</v>
      </c>
      <c r="M53" s="95">
        <f t="shared" si="0"/>
        <v>54748.994999999995</v>
      </c>
      <c r="N53" s="95">
        <v>3549.9207000000001</v>
      </c>
      <c r="O53" s="95">
        <v>0</v>
      </c>
      <c r="P53" s="115"/>
      <c r="Q53" s="95">
        <v>407.2038</v>
      </c>
      <c r="R53" s="95">
        <f t="shared" si="1"/>
        <v>50791.870499999997</v>
      </c>
      <c r="S53" s="96"/>
      <c r="T53" s="95">
        <v>50791.870499999997</v>
      </c>
      <c r="U53" s="96"/>
      <c r="V53" s="96"/>
      <c r="W53" s="96"/>
      <c r="X53" s="96"/>
      <c r="Y53" s="9">
        <f>IFERROR(VLOOKUP(B53,'[1]2122 Veterans Count'!$J:$M,4,FALSE),0)</f>
        <v>0</v>
      </c>
      <c r="Z53" s="97">
        <f t="shared" si="2"/>
        <v>0</v>
      </c>
    </row>
    <row r="54" spans="1:26" x14ac:dyDescent="0.25">
      <c r="A54" s="90" t="s">
        <v>48</v>
      </c>
      <c r="B54" s="91">
        <v>4100202822.7474999</v>
      </c>
      <c r="C54" s="90" t="s">
        <v>93</v>
      </c>
      <c r="D54" s="90" t="s">
        <v>50</v>
      </c>
      <c r="E54" s="90" t="s">
        <v>51</v>
      </c>
      <c r="F54" s="90" t="s">
        <v>92</v>
      </c>
      <c r="G54" s="93"/>
      <c r="H54" s="93"/>
      <c r="I54" s="93"/>
      <c r="J54" s="93"/>
      <c r="K54" s="95">
        <v>1140257.5242999999</v>
      </c>
      <c r="L54" s="95">
        <v>278372.7072</v>
      </c>
      <c r="M54" s="95">
        <f t="shared" si="0"/>
        <v>1418630.2315</v>
      </c>
      <c r="N54" s="95">
        <v>883645.22549999994</v>
      </c>
      <c r="O54" s="95">
        <v>0</v>
      </c>
      <c r="P54" s="96"/>
      <c r="Q54" s="95">
        <v>56690.313000000002</v>
      </c>
      <c r="R54" s="95">
        <f t="shared" si="1"/>
        <v>478294.69300000003</v>
      </c>
      <c r="S54" s="96"/>
      <c r="T54" s="95">
        <v>478294.69300000003</v>
      </c>
      <c r="U54" s="96"/>
      <c r="V54" s="96"/>
      <c r="W54" s="96"/>
      <c r="X54" s="96"/>
      <c r="Y54" s="9">
        <f>IFERROR(VLOOKUP(B54,'[1]2122 Veterans Count'!$J:$M,4,FALSE),0)</f>
        <v>5.3191489361702128E-2</v>
      </c>
      <c r="Z54" s="97">
        <f t="shared" si="2"/>
        <v>25441.207074468086</v>
      </c>
    </row>
    <row r="55" spans="1:26" x14ac:dyDescent="0.25">
      <c r="A55" s="90" t="s">
        <v>48</v>
      </c>
      <c r="B55" s="91">
        <v>4100203577.7474999</v>
      </c>
      <c r="C55" s="90" t="s">
        <v>94</v>
      </c>
      <c r="D55" s="90" t="s">
        <v>50</v>
      </c>
      <c r="E55" s="90" t="s">
        <v>51</v>
      </c>
      <c r="F55" s="90" t="s">
        <v>92</v>
      </c>
      <c r="G55" s="93"/>
      <c r="H55" s="93"/>
      <c r="I55" s="93"/>
      <c r="J55" s="93"/>
      <c r="K55" s="95">
        <v>631940.8051</v>
      </c>
      <c r="L55" s="95">
        <v>168820.51879999999</v>
      </c>
      <c r="M55" s="95">
        <f t="shared" si="0"/>
        <v>800761.32389999996</v>
      </c>
      <c r="N55" s="95">
        <v>563585.08620000002</v>
      </c>
      <c r="O55" s="95">
        <v>0</v>
      </c>
      <c r="P55" s="109"/>
      <c r="Q55" s="95">
        <v>25069.361000000001</v>
      </c>
      <c r="R55" s="95">
        <f t="shared" si="1"/>
        <v>212106.8768</v>
      </c>
      <c r="S55" s="96"/>
      <c r="T55" s="95">
        <v>212106.8768</v>
      </c>
      <c r="U55" s="96"/>
      <c r="V55" s="96"/>
      <c r="W55" s="96"/>
      <c r="X55" s="96"/>
      <c r="Y55" s="9">
        <f>IFERROR(VLOOKUP(B55,'[1]2122 Veterans Count'!$J:$M,4,FALSE),0)</f>
        <v>2.5000000000000001E-2</v>
      </c>
      <c r="Z55" s="97">
        <f t="shared" si="2"/>
        <v>5302.6719200000007</v>
      </c>
    </row>
    <row r="56" spans="1:26" x14ac:dyDescent="0.25">
      <c r="A56" s="90" t="s">
        <v>48</v>
      </c>
      <c r="B56" s="91">
        <v>4100203823.7474999</v>
      </c>
      <c r="C56" s="90" t="s">
        <v>95</v>
      </c>
      <c r="D56" s="90" t="s">
        <v>50</v>
      </c>
      <c r="E56" s="90" t="s">
        <v>51</v>
      </c>
      <c r="F56" s="90" t="s">
        <v>92</v>
      </c>
      <c r="G56" s="93"/>
      <c r="H56" s="93"/>
      <c r="I56" s="93"/>
      <c r="J56" s="93"/>
      <c r="K56" s="95">
        <v>1178456.4643000001</v>
      </c>
      <c r="L56" s="95">
        <v>301943.61170000001</v>
      </c>
      <c r="M56" s="95">
        <f t="shared" si="0"/>
        <v>1480400.0760000001</v>
      </c>
      <c r="N56" s="95">
        <v>863230.60789999994</v>
      </c>
      <c r="O56" s="95">
        <v>0</v>
      </c>
      <c r="P56" s="96"/>
      <c r="Q56" s="95">
        <v>48886.5461</v>
      </c>
      <c r="R56" s="95">
        <f t="shared" si="1"/>
        <v>568282.92200000002</v>
      </c>
      <c r="S56" s="96"/>
      <c r="T56" s="95">
        <v>568282.92200000002</v>
      </c>
      <c r="U56" s="96"/>
      <c r="V56" s="96"/>
      <c r="W56" s="96"/>
      <c r="X56" s="96"/>
      <c r="Y56" s="9">
        <f>IFERROR(VLOOKUP(B56,'[1]2122 Veterans Count'!$J:$M,4,FALSE),0)</f>
        <v>8.6538461538461536E-2</v>
      </c>
      <c r="Z56" s="97">
        <f t="shared" si="2"/>
        <v>49178.329788461539</v>
      </c>
    </row>
    <row r="57" spans="1:26" x14ac:dyDescent="0.25">
      <c r="A57" s="90" t="s">
        <v>48</v>
      </c>
      <c r="B57" s="91">
        <v>4100204584.7474999</v>
      </c>
      <c r="C57" s="90" t="s">
        <v>96</v>
      </c>
      <c r="D57" s="90" t="s">
        <v>50</v>
      </c>
      <c r="E57" s="90" t="s">
        <v>51</v>
      </c>
      <c r="F57" s="90" t="s">
        <v>92</v>
      </c>
      <c r="G57" s="93"/>
      <c r="H57" s="93"/>
      <c r="I57" s="93"/>
      <c r="J57" s="93"/>
      <c r="K57" s="95">
        <v>947.66729999999995</v>
      </c>
      <c r="L57" s="95">
        <v>198.16309999999999</v>
      </c>
      <c r="M57" s="95">
        <f t="shared" si="0"/>
        <v>1145.8303999999998</v>
      </c>
      <c r="N57" s="95">
        <v>643.04049999999995</v>
      </c>
      <c r="O57" s="95">
        <v>0</v>
      </c>
      <c r="P57" s="96"/>
      <c r="Q57" s="95">
        <v>275.8766</v>
      </c>
      <c r="R57" s="95">
        <f t="shared" si="1"/>
        <v>226.91319999999999</v>
      </c>
      <c r="S57" s="96"/>
      <c r="T57" s="95">
        <v>226.91319999999999</v>
      </c>
      <c r="U57" s="96"/>
      <c r="V57" s="96"/>
      <c r="W57" s="96"/>
      <c r="X57" s="96"/>
      <c r="Y57" s="9">
        <f>IFERROR(VLOOKUP(B57,'[1]2122 Veterans Count'!$J:$M,4,FALSE),0)</f>
        <v>0</v>
      </c>
      <c r="Z57" s="97">
        <f t="shared" si="2"/>
        <v>0</v>
      </c>
    </row>
    <row r="58" spans="1:26" x14ac:dyDescent="0.25">
      <c r="A58" s="90" t="s">
        <v>48</v>
      </c>
      <c r="B58" s="91">
        <v>4100204824.7474999</v>
      </c>
      <c r="C58" s="90" t="s">
        <v>97</v>
      </c>
      <c r="D58" s="90" t="s">
        <v>50</v>
      </c>
      <c r="E58" s="90" t="s">
        <v>51</v>
      </c>
      <c r="F58" s="90" t="s">
        <v>92</v>
      </c>
      <c r="G58" s="93"/>
      <c r="H58" s="93"/>
      <c r="I58" s="93"/>
      <c r="J58" s="93"/>
      <c r="K58" s="95">
        <v>1454896.0822000001</v>
      </c>
      <c r="L58" s="95">
        <v>356141.33490000002</v>
      </c>
      <c r="M58" s="95">
        <f t="shared" si="0"/>
        <v>1811037.4171000002</v>
      </c>
      <c r="N58" s="95">
        <v>1157623.4450999999</v>
      </c>
      <c r="O58" s="95">
        <v>0</v>
      </c>
      <c r="P58" s="96"/>
      <c r="Q58" s="95">
        <v>77142.852799999993</v>
      </c>
      <c r="R58" s="95">
        <f t="shared" si="1"/>
        <v>576271.11919999996</v>
      </c>
      <c r="S58" s="96"/>
      <c r="T58" s="95">
        <v>576271.11919999996</v>
      </c>
      <c r="U58" s="96"/>
      <c r="V58" s="96"/>
      <c r="W58" s="96"/>
      <c r="X58" s="96"/>
      <c r="Y58" s="9">
        <f>IFERROR(VLOOKUP(B58,'[1]2122 Veterans Count'!$J:$M,4,FALSE),0)</f>
        <v>4.9180327868852458E-2</v>
      </c>
      <c r="Z58" s="97">
        <f t="shared" si="2"/>
        <v>28341.202583606555</v>
      </c>
    </row>
    <row r="59" spans="1:26" x14ac:dyDescent="0.25">
      <c r="A59" s="90" t="s">
        <v>48</v>
      </c>
      <c r="B59" s="91">
        <v>4100202208.7474999</v>
      </c>
      <c r="C59" s="90" t="s">
        <v>98</v>
      </c>
      <c r="D59" s="90" t="s">
        <v>50</v>
      </c>
      <c r="E59" s="90" t="s">
        <v>51</v>
      </c>
      <c r="F59" s="90" t="s">
        <v>99</v>
      </c>
      <c r="G59" s="93"/>
      <c r="H59" s="93"/>
      <c r="I59" s="93"/>
      <c r="J59" s="93"/>
      <c r="K59" s="95">
        <v>1628684.21</v>
      </c>
      <c r="L59" s="115"/>
      <c r="M59" s="95">
        <f t="shared" si="0"/>
        <v>1628684.21</v>
      </c>
      <c r="N59" s="95">
        <v>893597.04639999999</v>
      </c>
      <c r="O59" s="95">
        <v>0</v>
      </c>
      <c r="P59" s="96"/>
      <c r="Q59" s="95">
        <v>563794.93640000001</v>
      </c>
      <c r="R59" s="95">
        <f t="shared" si="1"/>
        <v>171292.22719999999</v>
      </c>
      <c r="S59" s="96"/>
      <c r="T59" s="95">
        <v>171292.22719999999</v>
      </c>
      <c r="U59" s="96"/>
      <c r="V59" s="96"/>
      <c r="W59" s="96"/>
      <c r="X59" s="96"/>
      <c r="Y59" s="9">
        <f>IFERROR(VLOOKUP(B59,'[1]2122 Veterans Count'!$J:$M,4,FALSE),0)</f>
        <v>0</v>
      </c>
      <c r="Z59" s="97">
        <f t="shared" si="2"/>
        <v>0</v>
      </c>
    </row>
    <row r="60" spans="1:26" x14ac:dyDescent="0.25">
      <c r="A60" s="90" t="s">
        <v>48</v>
      </c>
      <c r="B60" s="91">
        <v>4100203210.7474999</v>
      </c>
      <c r="C60" s="90" t="s">
        <v>100</v>
      </c>
      <c r="D60" s="90" t="s">
        <v>50</v>
      </c>
      <c r="E60" s="90" t="s">
        <v>51</v>
      </c>
      <c r="F60" s="90" t="s">
        <v>99</v>
      </c>
      <c r="G60" s="93"/>
      <c r="H60" s="93"/>
      <c r="I60" s="93"/>
      <c r="J60" s="93"/>
      <c r="K60" s="95">
        <v>1346082.98</v>
      </c>
      <c r="L60" s="115"/>
      <c r="M60" s="95">
        <f t="shared" si="0"/>
        <v>1346082.98</v>
      </c>
      <c r="N60" s="95">
        <v>848986.07860000001</v>
      </c>
      <c r="O60" s="95">
        <v>0</v>
      </c>
      <c r="P60" s="96"/>
      <c r="Q60" s="95">
        <v>267151.8677</v>
      </c>
      <c r="R60" s="95">
        <f t="shared" si="1"/>
        <v>229945.0337</v>
      </c>
      <c r="S60" s="96"/>
      <c r="T60" s="95">
        <v>229945.0337</v>
      </c>
      <c r="U60" s="96"/>
      <c r="V60" s="96"/>
      <c r="W60" s="96"/>
      <c r="X60" s="96"/>
      <c r="Y60" s="9">
        <f>IFERROR(VLOOKUP(B60,'[1]2122 Veterans Count'!$J:$M,4,FALSE),0)</f>
        <v>0</v>
      </c>
      <c r="Z60" s="97">
        <f t="shared" si="2"/>
        <v>0</v>
      </c>
    </row>
    <row r="61" spans="1:26" x14ac:dyDescent="0.25">
      <c r="A61" s="90" t="s">
        <v>48</v>
      </c>
      <c r="B61" s="91">
        <v>4100207821.7474999</v>
      </c>
      <c r="C61" s="90" t="s">
        <v>101</v>
      </c>
      <c r="D61" s="90" t="s">
        <v>50</v>
      </c>
      <c r="E61" s="90" t="s">
        <v>51</v>
      </c>
      <c r="F61" s="90" t="s">
        <v>99</v>
      </c>
      <c r="G61" s="93"/>
      <c r="H61" s="93"/>
      <c r="I61" s="93"/>
      <c r="J61" s="93"/>
      <c r="K61" s="95">
        <v>1184641.0981000001</v>
      </c>
      <c r="L61" s="95">
        <v>445864.68300000002</v>
      </c>
      <c r="M61" s="95">
        <f t="shared" si="0"/>
        <v>1630505.7811</v>
      </c>
      <c r="N61" s="95">
        <v>977887.09719999996</v>
      </c>
      <c r="O61" s="95">
        <v>0</v>
      </c>
      <c r="P61" s="96"/>
      <c r="Q61" s="95">
        <v>225349.55989999999</v>
      </c>
      <c r="R61" s="95">
        <f t="shared" si="1"/>
        <v>427269.12400000001</v>
      </c>
      <c r="S61" s="96"/>
      <c r="T61" s="95">
        <v>427269.12400000001</v>
      </c>
      <c r="U61" s="96"/>
      <c r="V61" s="96"/>
      <c r="W61" s="96"/>
      <c r="X61" s="96"/>
      <c r="Y61" s="9">
        <f>IFERROR(VLOOKUP(B61,'[1]2122 Veterans Count'!$J:$M,4,FALSE),0)</f>
        <v>1.5384615384615385E-2</v>
      </c>
      <c r="Z61" s="97">
        <f t="shared" si="2"/>
        <v>6573.371138461539</v>
      </c>
    </row>
    <row r="62" spans="1:26" x14ac:dyDescent="0.25">
      <c r="A62" s="101" t="s">
        <v>48</v>
      </c>
      <c r="B62" s="102">
        <v>4100202294.8354998</v>
      </c>
      <c r="C62" s="101" t="s">
        <v>102</v>
      </c>
      <c r="D62" s="101" t="s">
        <v>50</v>
      </c>
      <c r="E62" s="101" t="s">
        <v>51</v>
      </c>
      <c r="F62" s="101" t="s">
        <v>103</v>
      </c>
      <c r="G62" s="103"/>
      <c r="H62" s="103"/>
      <c r="I62" s="103"/>
      <c r="J62" s="103"/>
      <c r="K62" s="104">
        <f>5261794.51-5261794.51+643634.5018</f>
        <v>643634.50179999997</v>
      </c>
      <c r="L62" s="106"/>
      <c r="M62" s="104">
        <f t="shared" si="0"/>
        <v>643634.50179999997</v>
      </c>
      <c r="N62" s="104">
        <f>1290753.292-1290753.292</f>
        <v>0</v>
      </c>
      <c r="O62" s="104">
        <f>2649234.0497-2649234.0497</f>
        <v>0</v>
      </c>
      <c r="P62" s="105"/>
      <c r="Q62" s="104">
        <f>678172.6666-678172.6666</f>
        <v>0</v>
      </c>
      <c r="R62" s="104">
        <f t="shared" si="1"/>
        <v>643634.50179999997</v>
      </c>
      <c r="S62" s="105"/>
      <c r="T62" s="104">
        <v>643634.50179999997</v>
      </c>
      <c r="U62" s="105"/>
      <c r="V62" s="105"/>
      <c r="W62" s="105"/>
      <c r="X62" s="105"/>
      <c r="Y62" s="9">
        <f>IFERROR(VLOOKUP(B62,'[1]2122 Veterans Count'!$J:$M,4,FALSE),0)</f>
        <v>1.3761467889908258E-2</v>
      </c>
      <c r="Z62" s="97">
        <f t="shared" si="2"/>
        <v>8857.3555293577974</v>
      </c>
    </row>
    <row r="63" spans="1:26" x14ac:dyDescent="0.25">
      <c r="A63" s="118" t="s">
        <v>48</v>
      </c>
      <c r="B63" s="119">
        <v>4100202604.7472</v>
      </c>
      <c r="C63" s="118" t="s">
        <v>104</v>
      </c>
      <c r="D63" s="118" t="s">
        <v>50</v>
      </c>
      <c r="E63" s="118" t="s">
        <v>51</v>
      </c>
      <c r="F63" s="118" t="s">
        <v>105</v>
      </c>
      <c r="G63" s="120"/>
      <c r="H63" s="120"/>
      <c r="I63" s="120"/>
      <c r="J63" s="120"/>
      <c r="K63" s="121">
        <v>78374.786900000006</v>
      </c>
      <c r="L63" s="122">
        <v>23871.698199999999</v>
      </c>
      <c r="M63" s="121">
        <f t="shared" si="0"/>
        <v>102246.48510000001</v>
      </c>
      <c r="N63" s="121">
        <v>0</v>
      </c>
      <c r="O63" s="123"/>
      <c r="P63" s="124"/>
      <c r="Q63" s="121">
        <v>0</v>
      </c>
      <c r="R63" s="121">
        <f t="shared" si="1"/>
        <v>102246.48510000001</v>
      </c>
      <c r="S63" s="124"/>
      <c r="T63" s="123"/>
      <c r="U63" s="124"/>
      <c r="V63" s="124"/>
      <c r="W63" s="122">
        <v>102246.48510000001</v>
      </c>
      <c r="X63" s="124"/>
      <c r="Y63" s="9">
        <f>IFERROR(VLOOKUP(B63,'[1]2122 Veterans Count'!$J:$M,4,FALSE),0)</f>
        <v>0</v>
      </c>
      <c r="Z63" s="97">
        <f t="shared" si="2"/>
        <v>0</v>
      </c>
    </row>
    <row r="64" spans="1:26" x14ac:dyDescent="0.25">
      <c r="A64" s="90" t="s">
        <v>48</v>
      </c>
      <c r="B64" s="91">
        <v>4100202605.7474999</v>
      </c>
      <c r="C64" s="90" t="s">
        <v>106</v>
      </c>
      <c r="D64" s="90" t="s">
        <v>50</v>
      </c>
      <c r="E64" s="90" t="s">
        <v>51</v>
      </c>
      <c r="F64" s="28" t="s">
        <v>105</v>
      </c>
      <c r="G64" s="93"/>
      <c r="H64" s="93"/>
      <c r="I64" s="93"/>
      <c r="J64" s="93"/>
      <c r="K64" s="95">
        <v>794296.26459999999</v>
      </c>
      <c r="L64" s="100">
        <v>229145.78279999999</v>
      </c>
      <c r="M64" s="95">
        <f t="shared" si="0"/>
        <v>1023442.0474</v>
      </c>
      <c r="N64" s="95">
        <v>541079.27870000002</v>
      </c>
      <c r="O64" s="95">
        <v>0</v>
      </c>
      <c r="P64" s="96"/>
      <c r="Q64" s="95">
        <v>362396.44569999998</v>
      </c>
      <c r="R64" s="95">
        <f t="shared" si="1"/>
        <v>119966.323</v>
      </c>
      <c r="S64" s="96"/>
      <c r="T64" s="95">
        <v>119966.323</v>
      </c>
      <c r="U64" s="96"/>
      <c r="V64" s="96"/>
      <c r="W64" s="96"/>
      <c r="X64" s="96"/>
      <c r="Y64" s="9">
        <f>IFERROR(VLOOKUP(B64,'[1]2122 Veterans Count'!$J:$M,4,FALSE),0)</f>
        <v>0</v>
      </c>
      <c r="Z64" s="97">
        <f t="shared" si="2"/>
        <v>0</v>
      </c>
    </row>
    <row r="65" spans="1:26" x14ac:dyDescent="0.25">
      <c r="A65" s="90" t="s">
        <v>48</v>
      </c>
      <c r="B65" s="91">
        <v>4100203790.7474999</v>
      </c>
      <c r="C65" s="90" t="s">
        <v>107</v>
      </c>
      <c r="D65" s="90" t="s">
        <v>50</v>
      </c>
      <c r="E65" s="90" t="s">
        <v>51</v>
      </c>
      <c r="F65" s="28" t="s">
        <v>105</v>
      </c>
      <c r="G65" s="93"/>
      <c r="H65" s="93"/>
      <c r="I65" s="93"/>
      <c r="J65" s="93"/>
      <c r="K65" s="95">
        <v>828957.25529999996</v>
      </c>
      <c r="L65" s="95">
        <v>228749.02789999999</v>
      </c>
      <c r="M65" s="95">
        <f t="shared" si="0"/>
        <v>1057706.2831999999</v>
      </c>
      <c r="N65" s="95">
        <v>496947.56030000001</v>
      </c>
      <c r="O65" s="100">
        <v>0</v>
      </c>
      <c r="P65" s="96"/>
      <c r="Q65" s="95">
        <v>490412.16269999999</v>
      </c>
      <c r="R65" s="95">
        <f t="shared" si="1"/>
        <v>70346.560299999997</v>
      </c>
      <c r="S65" s="96"/>
      <c r="T65" s="95">
        <v>70346.560299999997</v>
      </c>
      <c r="U65" s="96"/>
      <c r="V65" s="96"/>
      <c r="W65" s="96"/>
      <c r="X65" s="96"/>
      <c r="Y65" s="9">
        <f>IFERROR(VLOOKUP(B65,'[1]2122 Veterans Count'!$J:$M,4,FALSE),0)</f>
        <v>0</v>
      </c>
      <c r="Z65" s="97">
        <f t="shared" si="2"/>
        <v>0</v>
      </c>
    </row>
    <row r="66" spans="1:26" x14ac:dyDescent="0.25">
      <c r="A66" s="90" t="s">
        <v>48</v>
      </c>
      <c r="B66" s="91">
        <v>4100205788.7474999</v>
      </c>
      <c r="C66" s="90" t="s">
        <v>108</v>
      </c>
      <c r="D66" s="90" t="s">
        <v>50</v>
      </c>
      <c r="E66" s="90" t="s">
        <v>51</v>
      </c>
      <c r="F66" s="28" t="s">
        <v>105</v>
      </c>
      <c r="G66" s="93"/>
      <c r="H66" s="93"/>
      <c r="I66" s="93"/>
      <c r="J66" s="93"/>
      <c r="K66" s="95">
        <v>781051.76780000003</v>
      </c>
      <c r="L66" s="95">
        <v>240750.57699999999</v>
      </c>
      <c r="M66" s="95">
        <f t="shared" si="0"/>
        <v>1021802.3448000001</v>
      </c>
      <c r="N66" s="95">
        <v>518562.70329999999</v>
      </c>
      <c r="O66" s="95">
        <v>0</v>
      </c>
      <c r="P66" s="115"/>
      <c r="Q66" s="95">
        <v>417680.8222</v>
      </c>
      <c r="R66" s="95">
        <f t="shared" si="1"/>
        <v>85558.819300000003</v>
      </c>
      <c r="S66" s="96"/>
      <c r="T66" s="95">
        <v>85558.819300000003</v>
      </c>
      <c r="U66" s="96"/>
      <c r="V66" s="96"/>
      <c r="W66" s="96"/>
      <c r="X66" s="96"/>
      <c r="Y66" s="9">
        <f>IFERROR(VLOOKUP(B66,'[1]2122 Veterans Count'!$J:$M,4,FALSE),0)</f>
        <v>0</v>
      </c>
      <c r="Z66" s="97">
        <f t="shared" si="2"/>
        <v>0</v>
      </c>
    </row>
    <row r="67" spans="1:26" x14ac:dyDescent="0.25">
      <c r="A67" s="101" t="s">
        <v>48</v>
      </c>
      <c r="B67" s="102">
        <v>4100206016.8354998</v>
      </c>
      <c r="C67" s="101" t="s">
        <v>109</v>
      </c>
      <c r="D67" s="101" t="s">
        <v>50</v>
      </c>
      <c r="E67" s="101" t="s">
        <v>51</v>
      </c>
      <c r="F67" s="101" t="s">
        <v>105</v>
      </c>
      <c r="G67" s="103"/>
      <c r="H67" s="103"/>
      <c r="I67" s="103"/>
      <c r="J67" s="103"/>
      <c r="K67" s="104">
        <f>14196824.7076-14196824.7076+9061190.9151</f>
        <v>9061190.9151000008</v>
      </c>
      <c r="L67" s="107"/>
      <c r="M67" s="104">
        <f t="shared" si="0"/>
        <v>9061190.9151000008</v>
      </c>
      <c r="N67" s="104">
        <f>3611480.6409-3611480.6409</f>
        <v>0</v>
      </c>
      <c r="O67" s="104">
        <v>0</v>
      </c>
      <c r="P67" s="105"/>
      <c r="Q67" s="104">
        <f>1524153.1516-1524153.1516</f>
        <v>0</v>
      </c>
      <c r="R67" s="104">
        <f t="shared" si="1"/>
        <v>9061190.9151000008</v>
      </c>
      <c r="S67" s="105"/>
      <c r="T67" s="104">
        <v>9061190.9151000008</v>
      </c>
      <c r="U67" s="105"/>
      <c r="V67" s="105"/>
      <c r="W67" s="105"/>
      <c r="X67" s="105"/>
      <c r="Y67" s="9">
        <f>IFERROR(VLOOKUP(B67,'[1]2122 Veterans Count'!$J:$M,4,FALSE),0)</f>
        <v>2.7766091712242324E-2</v>
      </c>
      <c r="Z67" s="97">
        <f t="shared" si="2"/>
        <v>251593.85797080357</v>
      </c>
    </row>
    <row r="68" spans="1:26" x14ac:dyDescent="0.25">
      <c r="A68" s="101" t="s">
        <v>48</v>
      </c>
      <c r="B68" s="102">
        <v>4100206017.8354998</v>
      </c>
      <c r="C68" s="101" t="s">
        <v>110</v>
      </c>
      <c r="D68" s="101" t="s">
        <v>50</v>
      </c>
      <c r="E68" s="101" t="s">
        <v>51</v>
      </c>
      <c r="F68" s="101" t="s">
        <v>105</v>
      </c>
      <c r="G68" s="103"/>
      <c r="H68" s="103"/>
      <c r="I68" s="103"/>
      <c r="J68" s="103"/>
      <c r="K68" s="104">
        <f>64478045.4725-64478045.4725+2289727.38+9134506.29</f>
        <v>11424233.669999998</v>
      </c>
      <c r="L68" s="107"/>
      <c r="M68" s="104">
        <f t="shared" si="0"/>
        <v>11424233.669999998</v>
      </c>
      <c r="N68" s="104">
        <f>20234978.2851-20234978.2851</f>
        <v>0</v>
      </c>
      <c r="O68" s="104">
        <f>19654835.2416-19654835.2416</f>
        <v>0</v>
      </c>
      <c r="P68" s="107"/>
      <c r="Q68" s="104">
        <f>22298504.5658-22298504.5658</f>
        <v>0</v>
      </c>
      <c r="R68" s="104">
        <f t="shared" si="1"/>
        <v>11424233.669999998</v>
      </c>
      <c r="S68" s="105"/>
      <c r="T68" s="104">
        <f>2289727.38+9134506.29</f>
        <v>11424233.669999998</v>
      </c>
      <c r="U68" s="105"/>
      <c r="V68" s="105"/>
      <c r="W68" s="105"/>
      <c r="X68" s="105"/>
      <c r="Y68" s="9">
        <f>IFERROR(VLOOKUP(B68,'[1]2122 Veterans Count'!$J:$M,4,FALSE),0)</f>
        <v>0</v>
      </c>
      <c r="Z68" s="97">
        <f t="shared" si="2"/>
        <v>0</v>
      </c>
    </row>
    <row r="69" spans="1:26" x14ac:dyDescent="0.25">
      <c r="A69" s="101" t="s">
        <v>48</v>
      </c>
      <c r="B69" s="102">
        <v>4100206634.7474999</v>
      </c>
      <c r="C69" s="101" t="s">
        <v>111</v>
      </c>
      <c r="D69" s="101" t="s">
        <v>50</v>
      </c>
      <c r="E69" s="101" t="s">
        <v>51</v>
      </c>
      <c r="F69" s="101" t="s">
        <v>105</v>
      </c>
      <c r="G69" s="103"/>
      <c r="H69" s="103"/>
      <c r="I69" s="103"/>
      <c r="J69" s="103"/>
      <c r="K69" s="104">
        <f>-1571044.337+1571044.337</f>
        <v>0</v>
      </c>
      <c r="L69" s="104">
        <f>-1571044.3372+1571044.3372</f>
        <v>0</v>
      </c>
      <c r="M69" s="104">
        <f t="shared" si="0"/>
        <v>0</v>
      </c>
      <c r="N69" s="104">
        <v>0</v>
      </c>
      <c r="O69" s="107"/>
      <c r="P69" s="105"/>
      <c r="Q69" s="104">
        <v>0</v>
      </c>
      <c r="R69" s="104">
        <f t="shared" si="1"/>
        <v>2.0000000000000001E-4</v>
      </c>
      <c r="S69" s="105"/>
      <c r="T69" s="104">
        <v>2.0000000000000001E-4</v>
      </c>
      <c r="U69" s="105"/>
      <c r="V69" s="105"/>
      <c r="W69" s="106"/>
      <c r="X69" s="105"/>
      <c r="Y69" s="9">
        <f>IFERROR(VLOOKUP(B69,'[1]2122 Veterans Count'!$J:$M,4,FALSE),0)</f>
        <v>2.7742749054224466E-2</v>
      </c>
      <c r="Z69" s="97">
        <f t="shared" si="2"/>
        <v>5.5485498108448937E-6</v>
      </c>
    </row>
    <row r="70" spans="1:26" x14ac:dyDescent="0.25">
      <c r="A70" s="101" t="s">
        <v>48</v>
      </c>
      <c r="B70" s="102">
        <v>4100206635.8354998</v>
      </c>
      <c r="C70" s="101" t="s">
        <v>112</v>
      </c>
      <c r="D70" s="101" t="s">
        <v>50</v>
      </c>
      <c r="E70" s="101" t="s">
        <v>51</v>
      </c>
      <c r="F70" s="101" t="s">
        <v>105</v>
      </c>
      <c r="G70" s="103"/>
      <c r="H70" s="103"/>
      <c r="I70" s="103"/>
      <c r="J70" s="103"/>
      <c r="K70" s="104">
        <f>-1218728.4808+1218728.4808</f>
        <v>0</v>
      </c>
      <c r="L70" s="104">
        <f>1218728.4826-1218728.4826</f>
        <v>0</v>
      </c>
      <c r="M70" s="104">
        <f t="shared" si="0"/>
        <v>0</v>
      </c>
      <c r="N70" s="104">
        <v>0</v>
      </c>
      <c r="O70" s="104">
        <v>1.8E-3</v>
      </c>
      <c r="P70" s="105"/>
      <c r="Q70" s="104">
        <v>0</v>
      </c>
      <c r="R70" s="104">
        <f t="shared" si="1"/>
        <v>0</v>
      </c>
      <c r="S70" s="105"/>
      <c r="T70" s="104">
        <v>0</v>
      </c>
      <c r="U70" s="105"/>
      <c r="V70" s="105"/>
      <c r="W70" s="105"/>
      <c r="X70" s="105"/>
      <c r="Y70" s="9">
        <f>IFERROR(VLOOKUP(B70,'[1]2122 Veterans Count'!$J:$M,4,FALSE),0)</f>
        <v>0</v>
      </c>
      <c r="Z70" s="97">
        <f t="shared" si="2"/>
        <v>0</v>
      </c>
    </row>
    <row r="71" spans="1:26" x14ac:dyDescent="0.25">
      <c r="A71" s="90" t="s">
        <v>48</v>
      </c>
      <c r="B71" s="91">
        <v>4100206736.7474999</v>
      </c>
      <c r="C71" s="90" t="s">
        <v>113</v>
      </c>
      <c r="D71" s="90" t="s">
        <v>50</v>
      </c>
      <c r="E71" s="90" t="s">
        <v>51</v>
      </c>
      <c r="F71" s="90" t="s">
        <v>105</v>
      </c>
      <c r="G71" s="93"/>
      <c r="H71" s="93"/>
      <c r="I71" s="93"/>
      <c r="J71" s="93"/>
      <c r="K71" s="95">
        <v>1951969.9054</v>
      </c>
      <c r="L71" s="100">
        <v>769357.43500000006</v>
      </c>
      <c r="M71" s="95">
        <f t="shared" si="0"/>
        <v>2721327.3404000001</v>
      </c>
      <c r="N71" s="95">
        <v>340070.31839999999</v>
      </c>
      <c r="O71" s="95">
        <v>0</v>
      </c>
      <c r="P71" s="100">
        <v>212975.96</v>
      </c>
      <c r="Q71" s="95">
        <v>37776.103300000002</v>
      </c>
      <c r="R71" s="95">
        <f t="shared" si="1"/>
        <v>2130504.9586999998</v>
      </c>
      <c r="S71" s="96"/>
      <c r="T71" s="95">
        <v>2130504.9586999998</v>
      </c>
      <c r="U71" s="96"/>
      <c r="V71" s="96"/>
      <c r="W71" s="96"/>
      <c r="X71" s="96"/>
      <c r="Y71" s="9">
        <f>IFERROR(VLOOKUP(B71,'[1]2122 Veterans Count'!$J:$M,4,FALSE),0)</f>
        <v>1.1976047904191617E-2</v>
      </c>
      <c r="Z71" s="97">
        <f t="shared" si="2"/>
        <v>25515.029445508982</v>
      </c>
    </row>
    <row r="72" spans="1:26" x14ac:dyDescent="0.25">
      <c r="A72" s="90" t="s">
        <v>48</v>
      </c>
      <c r="B72" s="91">
        <v>4100206942.7474999</v>
      </c>
      <c r="C72" s="90" t="s">
        <v>114</v>
      </c>
      <c r="D72" s="90" t="s">
        <v>50</v>
      </c>
      <c r="E72" s="90" t="s">
        <v>51</v>
      </c>
      <c r="F72" s="90" t="s">
        <v>105</v>
      </c>
      <c r="G72" s="93"/>
      <c r="H72" s="93"/>
      <c r="I72" s="93"/>
      <c r="J72" s="93"/>
      <c r="K72" s="95">
        <v>1107916.4701</v>
      </c>
      <c r="L72" s="95">
        <v>421100.47960000002</v>
      </c>
      <c r="M72" s="95">
        <f t="shared" si="0"/>
        <v>1529016.9497</v>
      </c>
      <c r="N72" s="95">
        <v>474486.31300000002</v>
      </c>
      <c r="O72" s="95">
        <v>0</v>
      </c>
      <c r="P72" s="96"/>
      <c r="Q72" s="95">
        <v>89955.512300000002</v>
      </c>
      <c r="R72" s="95">
        <f t="shared" si="1"/>
        <v>964575.12450000003</v>
      </c>
      <c r="S72" s="96"/>
      <c r="T72" s="95">
        <v>964575.12450000003</v>
      </c>
      <c r="U72" s="96"/>
      <c r="V72" s="96"/>
      <c r="W72" s="96"/>
      <c r="X72" s="96"/>
      <c r="Y72" s="9">
        <f>IFERROR(VLOOKUP(B72,'[1]2122 Veterans Count'!$J:$M,4,FALSE),0)</f>
        <v>3.8461538461538464E-2</v>
      </c>
      <c r="Z72" s="97">
        <f t="shared" si="2"/>
        <v>37099.043250000002</v>
      </c>
    </row>
    <row r="73" spans="1:26" x14ac:dyDescent="0.25">
      <c r="A73" s="90" t="s">
        <v>48</v>
      </c>
      <c r="B73" s="91">
        <v>4100206953.7474999</v>
      </c>
      <c r="C73" s="90" t="s">
        <v>115</v>
      </c>
      <c r="D73" s="90" t="s">
        <v>50</v>
      </c>
      <c r="E73" s="90" t="s">
        <v>51</v>
      </c>
      <c r="F73" s="90" t="s">
        <v>105</v>
      </c>
      <c r="G73" s="93"/>
      <c r="H73" s="93"/>
      <c r="I73" s="93"/>
      <c r="J73" s="93"/>
      <c r="K73" s="95">
        <v>583076.15260000003</v>
      </c>
      <c r="L73" s="95">
        <v>237782.8469</v>
      </c>
      <c r="M73" s="95">
        <f t="shared" si="0"/>
        <v>820858.99950000003</v>
      </c>
      <c r="N73" s="95">
        <v>339158.31050000002</v>
      </c>
      <c r="O73" s="95">
        <v>0</v>
      </c>
      <c r="P73" s="100">
        <v>225072.55</v>
      </c>
      <c r="Q73" s="95">
        <v>228727.31229999999</v>
      </c>
      <c r="R73" s="95">
        <f t="shared" si="1"/>
        <v>27900.826700000001</v>
      </c>
      <c r="S73" s="96"/>
      <c r="T73" s="95">
        <v>27900.826700000001</v>
      </c>
      <c r="U73" s="96"/>
      <c r="V73" s="96"/>
      <c r="W73" s="96"/>
      <c r="X73" s="96"/>
      <c r="Y73" s="9">
        <f>IFERROR(VLOOKUP(B73,'[1]2122 Veterans Count'!$J:$M,4,FALSE),0)</f>
        <v>0</v>
      </c>
      <c r="Z73" s="97">
        <f t="shared" si="2"/>
        <v>0</v>
      </c>
    </row>
    <row r="74" spans="1:26" x14ac:dyDescent="0.25">
      <c r="A74" s="90" t="s">
        <v>48</v>
      </c>
      <c r="B74" s="91">
        <v>4100206995.7474999</v>
      </c>
      <c r="C74" s="90" t="s">
        <v>116</v>
      </c>
      <c r="D74" s="90" t="s">
        <v>50</v>
      </c>
      <c r="E74" s="90" t="s">
        <v>51</v>
      </c>
      <c r="F74" s="90" t="s">
        <v>105</v>
      </c>
      <c r="G74" s="93"/>
      <c r="H74" s="93"/>
      <c r="I74" s="93"/>
      <c r="J74" s="93"/>
      <c r="K74" s="95">
        <v>87813.472099999999</v>
      </c>
      <c r="L74" s="95">
        <v>18023.838100000001</v>
      </c>
      <c r="M74" s="95">
        <f t="shared" si="0"/>
        <v>105837.31020000001</v>
      </c>
      <c r="N74" s="95">
        <v>48302.071600000003</v>
      </c>
      <c r="O74" s="95">
        <v>0</v>
      </c>
      <c r="P74" s="96"/>
      <c r="Q74" s="95">
        <v>29535.125700000001</v>
      </c>
      <c r="R74" s="95">
        <f t="shared" si="1"/>
        <v>28000.1129</v>
      </c>
      <c r="S74" s="96"/>
      <c r="T74" s="95">
        <v>28000.1129</v>
      </c>
      <c r="U74" s="96"/>
      <c r="V74" s="96"/>
      <c r="W74" s="96"/>
      <c r="X74" s="96"/>
      <c r="Y74" s="9">
        <f>IFERROR(VLOOKUP(B74,'[1]2122 Veterans Count'!$J:$M,4,FALSE),0)</f>
        <v>5.2631578947368418E-2</v>
      </c>
      <c r="Z74" s="97">
        <f t="shared" si="2"/>
        <v>1473.6901526315789</v>
      </c>
    </row>
    <row r="75" spans="1:26" x14ac:dyDescent="0.25">
      <c r="A75" s="90" t="s">
        <v>48</v>
      </c>
      <c r="B75" s="91">
        <v>4100206996.7474999</v>
      </c>
      <c r="C75" s="90" t="s">
        <v>117</v>
      </c>
      <c r="D75" s="90" t="s">
        <v>50</v>
      </c>
      <c r="E75" s="90" t="s">
        <v>51</v>
      </c>
      <c r="F75" s="90" t="s">
        <v>105</v>
      </c>
      <c r="G75" s="93"/>
      <c r="H75" s="93"/>
      <c r="I75" s="93"/>
      <c r="J75" s="93"/>
      <c r="K75" s="95">
        <v>59944.303099999997</v>
      </c>
      <c r="L75" s="95">
        <v>11740.0545</v>
      </c>
      <c r="M75" s="95">
        <f t="shared" si="0"/>
        <v>71684.357600000003</v>
      </c>
      <c r="N75" s="95">
        <v>10732.429899999999</v>
      </c>
      <c r="O75" s="100">
        <v>0</v>
      </c>
      <c r="P75" s="96"/>
      <c r="Q75" s="95">
        <v>6369.3499000000002</v>
      </c>
      <c r="R75" s="95">
        <f t="shared" si="1"/>
        <v>54582.577799999999</v>
      </c>
      <c r="S75" s="96"/>
      <c r="T75" s="100">
        <v>54582.577799999999</v>
      </c>
      <c r="U75" s="96"/>
      <c r="V75" s="96"/>
      <c r="W75" s="115"/>
      <c r="X75" s="96"/>
      <c r="Y75" s="9">
        <f>IFERROR(VLOOKUP(B75,'[1]2122 Veterans Count'!$J:$M,4,FALSE),0)</f>
        <v>0</v>
      </c>
      <c r="Z75" s="97">
        <f t="shared" si="2"/>
        <v>0</v>
      </c>
    </row>
    <row r="76" spans="1:26" x14ac:dyDescent="0.25">
      <c r="A76" s="90" t="s">
        <v>48</v>
      </c>
      <c r="B76" s="91">
        <v>4100206997.7474999</v>
      </c>
      <c r="C76" s="90" t="s">
        <v>118</v>
      </c>
      <c r="D76" s="90" t="s">
        <v>50</v>
      </c>
      <c r="E76" s="90" t="s">
        <v>51</v>
      </c>
      <c r="F76" s="90" t="s">
        <v>105</v>
      </c>
      <c r="G76" s="93"/>
      <c r="H76" s="93"/>
      <c r="I76" s="93"/>
      <c r="J76" s="93"/>
      <c r="K76" s="95">
        <v>71557.784599999999</v>
      </c>
      <c r="L76" s="95">
        <v>19735.821199999998</v>
      </c>
      <c r="M76" s="95">
        <f t="shared" si="0"/>
        <v>91293.60579999999</v>
      </c>
      <c r="N76" s="95">
        <v>26559.338899999999</v>
      </c>
      <c r="O76" s="95">
        <v>0</v>
      </c>
      <c r="P76" s="96"/>
      <c r="Q76" s="95">
        <v>9345.5223000000005</v>
      </c>
      <c r="R76" s="95">
        <f t="shared" si="1"/>
        <v>55388.744599999998</v>
      </c>
      <c r="S76" s="96"/>
      <c r="T76" s="95">
        <v>55388.744599999998</v>
      </c>
      <c r="U76" s="96"/>
      <c r="V76" s="96"/>
      <c r="W76" s="96"/>
      <c r="X76" s="96"/>
      <c r="Y76" s="9">
        <f>IFERROR(VLOOKUP(B76,'[1]2122 Veterans Count'!$J:$M,4,FALSE),0)</f>
        <v>0</v>
      </c>
      <c r="Z76" s="97">
        <f t="shared" si="2"/>
        <v>0</v>
      </c>
    </row>
    <row r="77" spans="1:26" x14ac:dyDescent="0.25">
      <c r="A77" s="90" t="s">
        <v>48</v>
      </c>
      <c r="B77" s="91">
        <v>4100206998.7474999</v>
      </c>
      <c r="C77" s="90" t="s">
        <v>119</v>
      </c>
      <c r="D77" s="90" t="s">
        <v>50</v>
      </c>
      <c r="E77" s="90" t="s">
        <v>51</v>
      </c>
      <c r="F77" s="90" t="s">
        <v>105</v>
      </c>
      <c r="G77" s="93"/>
      <c r="H77" s="93"/>
      <c r="I77" s="93"/>
      <c r="J77" s="93"/>
      <c r="K77" s="95">
        <v>230952.3492</v>
      </c>
      <c r="L77" s="95">
        <v>27191.349399999999</v>
      </c>
      <c r="M77" s="95">
        <f t="shared" si="0"/>
        <v>258143.6986</v>
      </c>
      <c r="N77" s="95">
        <v>42893.781799999997</v>
      </c>
      <c r="O77" s="95">
        <v>0</v>
      </c>
      <c r="P77" s="96"/>
      <c r="Q77" s="95">
        <v>4636.3540999999996</v>
      </c>
      <c r="R77" s="95">
        <f t="shared" si="1"/>
        <v>210613.56270000001</v>
      </c>
      <c r="S77" s="96"/>
      <c r="T77" s="95">
        <v>210613.56270000001</v>
      </c>
      <c r="U77" s="96"/>
      <c r="V77" s="96"/>
      <c r="W77" s="96"/>
      <c r="X77" s="96"/>
      <c r="Y77" s="9">
        <f>IFERROR(VLOOKUP(B77,'[1]2122 Veterans Count'!$J:$M,4,FALSE),0)</f>
        <v>0</v>
      </c>
      <c r="Z77" s="97">
        <f t="shared" si="2"/>
        <v>0</v>
      </c>
    </row>
    <row r="78" spans="1:26" x14ac:dyDescent="0.25">
      <c r="A78" s="90" t="s">
        <v>48</v>
      </c>
      <c r="B78" s="91">
        <v>4100322800.7474999</v>
      </c>
      <c r="C78" s="90" t="s">
        <v>120</v>
      </c>
      <c r="D78" s="90" t="s">
        <v>50</v>
      </c>
      <c r="E78" s="90" t="s">
        <v>51</v>
      </c>
      <c r="F78" s="90" t="s">
        <v>121</v>
      </c>
      <c r="G78" s="93"/>
      <c r="H78" s="93"/>
      <c r="I78" s="93"/>
      <c r="J78" s="93"/>
      <c r="K78" s="95">
        <v>322430.8554</v>
      </c>
      <c r="L78" s="95">
        <v>92592.277100000007</v>
      </c>
      <c r="M78" s="95">
        <f t="shared" si="0"/>
        <v>415023.13250000001</v>
      </c>
      <c r="N78" s="95">
        <v>95633.107099999994</v>
      </c>
      <c r="O78" s="95">
        <v>0</v>
      </c>
      <c r="P78" s="96"/>
      <c r="Q78" s="95">
        <v>279259.4278</v>
      </c>
      <c r="R78" s="95">
        <f t="shared" si="1"/>
        <v>40130.597600000001</v>
      </c>
      <c r="S78" s="96"/>
      <c r="T78" s="95">
        <v>40130.597600000001</v>
      </c>
      <c r="U78" s="96"/>
      <c r="V78" s="96"/>
      <c r="W78" s="109"/>
      <c r="X78" s="96"/>
      <c r="Y78" s="9">
        <f>IFERROR(VLOOKUP(B78,'[1]2122 Veterans Count'!$J:$M,4,FALSE),0)</f>
        <v>0</v>
      </c>
      <c r="Z78" s="97">
        <f t="shared" si="2"/>
        <v>0</v>
      </c>
    </row>
    <row r="79" spans="1:26" x14ac:dyDescent="0.25">
      <c r="A79" s="90" t="s">
        <v>48</v>
      </c>
      <c r="B79" s="91">
        <v>4100322937.7474999</v>
      </c>
      <c r="C79" s="90" t="s">
        <v>122</v>
      </c>
      <c r="D79" s="90" t="s">
        <v>50</v>
      </c>
      <c r="E79" s="90" t="s">
        <v>51</v>
      </c>
      <c r="F79" s="90" t="s">
        <v>121</v>
      </c>
      <c r="G79" s="93"/>
      <c r="H79" s="93"/>
      <c r="I79" s="93"/>
      <c r="J79" s="93"/>
      <c r="K79" s="95">
        <v>427125.15879999998</v>
      </c>
      <c r="L79" s="95">
        <v>120093.8521</v>
      </c>
      <c r="M79" s="95">
        <f t="shared" ref="M79:M120" si="3">+K79+L79</f>
        <v>547219.01089999999</v>
      </c>
      <c r="N79" s="95">
        <v>242888.1012</v>
      </c>
      <c r="O79" s="95">
        <v>0</v>
      </c>
      <c r="P79" s="96"/>
      <c r="Q79" s="95">
        <v>269027.47619999998</v>
      </c>
      <c r="R79" s="95">
        <f t="shared" ref="R79:R144" si="4">SUM(S79:X79)</f>
        <v>35303.433499999999</v>
      </c>
      <c r="S79" s="96"/>
      <c r="T79" s="95">
        <v>35303.433499999999</v>
      </c>
      <c r="U79" s="96"/>
      <c r="V79" s="96"/>
      <c r="W79" s="96"/>
      <c r="X79" s="109"/>
      <c r="Y79" s="9">
        <f>IFERROR(VLOOKUP(B79,'[1]2122 Veterans Count'!$J:$M,4,FALSE),0)</f>
        <v>0</v>
      </c>
      <c r="Z79" s="97">
        <f t="shared" si="2"/>
        <v>0</v>
      </c>
    </row>
    <row r="80" spans="1:26" x14ac:dyDescent="0.25">
      <c r="A80" s="90" t="s">
        <v>48</v>
      </c>
      <c r="B80" s="91">
        <v>4100202787.7474999</v>
      </c>
      <c r="C80" s="90" t="s">
        <v>123</v>
      </c>
      <c r="D80" s="90" t="s">
        <v>50</v>
      </c>
      <c r="E80" s="90" t="s">
        <v>51</v>
      </c>
      <c r="F80" s="90" t="s">
        <v>124</v>
      </c>
      <c r="G80" s="93"/>
      <c r="H80" s="93"/>
      <c r="I80" s="93"/>
      <c r="J80" s="93"/>
      <c r="K80" s="95">
        <v>164837.61470000001</v>
      </c>
      <c r="L80" s="95">
        <v>43710.739300000001</v>
      </c>
      <c r="M80" s="95">
        <f t="shared" si="3"/>
        <v>208548.35399999999</v>
      </c>
      <c r="N80" s="95">
        <v>136849.66529999999</v>
      </c>
      <c r="O80" s="95">
        <v>0</v>
      </c>
      <c r="P80" s="96"/>
      <c r="Q80" s="95">
        <v>12673.0339</v>
      </c>
      <c r="R80" s="95">
        <f t="shared" si="4"/>
        <v>59025.654799999997</v>
      </c>
      <c r="S80" s="96"/>
      <c r="T80" s="95">
        <v>59025.654799999997</v>
      </c>
      <c r="U80" s="96"/>
      <c r="V80" s="96"/>
      <c r="W80" s="96"/>
      <c r="X80" s="96"/>
      <c r="Y80" s="9">
        <f>IFERROR(VLOOKUP(B80,'[1]2122 Veterans Count'!$J:$M,4,FALSE),0)</f>
        <v>0</v>
      </c>
      <c r="Z80" s="97">
        <f t="shared" ref="Z80:Z143" si="5">+Y80*R80</f>
        <v>0</v>
      </c>
    </row>
    <row r="81" spans="1:26" x14ac:dyDescent="0.25">
      <c r="A81" s="90" t="s">
        <v>48</v>
      </c>
      <c r="B81" s="91">
        <v>4100203785.7474999</v>
      </c>
      <c r="C81" s="90" t="s">
        <v>125</v>
      </c>
      <c r="D81" s="90" t="s">
        <v>50</v>
      </c>
      <c r="E81" s="90" t="s">
        <v>51</v>
      </c>
      <c r="F81" s="90" t="s">
        <v>124</v>
      </c>
      <c r="G81" s="93"/>
      <c r="H81" s="93"/>
      <c r="I81" s="93"/>
      <c r="J81" s="93"/>
      <c r="K81" s="95">
        <v>198170.34640000001</v>
      </c>
      <c r="L81" s="95">
        <v>52870.6394</v>
      </c>
      <c r="M81" s="95">
        <f t="shared" si="3"/>
        <v>251040.98580000002</v>
      </c>
      <c r="N81" s="95">
        <v>165229.0914</v>
      </c>
      <c r="O81" s="95">
        <v>0</v>
      </c>
      <c r="P81" s="109"/>
      <c r="Q81" s="95">
        <v>70217.779500000004</v>
      </c>
      <c r="R81" s="95">
        <f t="shared" si="4"/>
        <v>15594.1149</v>
      </c>
      <c r="S81" s="96"/>
      <c r="T81" s="95">
        <v>15594.1149</v>
      </c>
      <c r="U81" s="96"/>
      <c r="V81" s="96"/>
      <c r="W81" s="96"/>
      <c r="X81" s="96"/>
      <c r="Y81" s="9">
        <f>IFERROR(VLOOKUP(B81,'[1]2122 Veterans Count'!$J:$M,4,FALSE),0)</f>
        <v>0</v>
      </c>
      <c r="Z81" s="97">
        <f t="shared" si="5"/>
        <v>0</v>
      </c>
    </row>
    <row r="82" spans="1:26" x14ac:dyDescent="0.25">
      <c r="A82" s="90" t="s">
        <v>48</v>
      </c>
      <c r="B82" s="91">
        <v>4100205786.7474999</v>
      </c>
      <c r="C82" s="90" t="s">
        <v>126</v>
      </c>
      <c r="D82" s="90" t="s">
        <v>50</v>
      </c>
      <c r="E82" s="90" t="s">
        <v>51</v>
      </c>
      <c r="F82" s="90" t="s">
        <v>124</v>
      </c>
      <c r="G82" s="93"/>
      <c r="H82" s="93"/>
      <c r="I82" s="93"/>
      <c r="J82" s="93"/>
      <c r="K82" s="95">
        <v>810849.99179999996</v>
      </c>
      <c r="L82" s="95">
        <v>226410.38699999999</v>
      </c>
      <c r="M82" s="95">
        <f t="shared" si="3"/>
        <v>1037260.3787999999</v>
      </c>
      <c r="N82" s="100">
        <v>793095.33470000001</v>
      </c>
      <c r="O82" s="100">
        <v>0</v>
      </c>
      <c r="P82" s="96"/>
      <c r="Q82" s="95">
        <v>200770.63949999999</v>
      </c>
      <c r="R82" s="95">
        <f t="shared" si="4"/>
        <v>43394.404600000002</v>
      </c>
      <c r="S82" s="96"/>
      <c r="T82" s="95">
        <v>43394.404600000002</v>
      </c>
      <c r="U82" s="96"/>
      <c r="V82" s="96"/>
      <c r="W82" s="96"/>
      <c r="X82" s="96"/>
      <c r="Y82" s="9">
        <f>IFERROR(VLOOKUP(B82,'[1]2122 Veterans Count'!$J:$M,4,FALSE),0)</f>
        <v>0</v>
      </c>
      <c r="Z82" s="97">
        <f t="shared" si="5"/>
        <v>0</v>
      </c>
    </row>
    <row r="83" spans="1:26" x14ac:dyDescent="0.25">
      <c r="A83" s="90" t="s">
        <v>48</v>
      </c>
      <c r="B83" s="91">
        <v>4100217280.7474999</v>
      </c>
      <c r="C83" s="90" t="s">
        <v>127</v>
      </c>
      <c r="D83" s="90" t="s">
        <v>50</v>
      </c>
      <c r="E83" s="90" t="s">
        <v>51</v>
      </c>
      <c r="F83" s="90" t="s">
        <v>128</v>
      </c>
      <c r="G83" s="93"/>
      <c r="H83" s="93"/>
      <c r="I83" s="93"/>
      <c r="J83" s="93"/>
      <c r="K83" s="95">
        <v>287268.71000000002</v>
      </c>
      <c r="L83" s="115"/>
      <c r="M83" s="95">
        <f t="shared" si="3"/>
        <v>287268.71000000002</v>
      </c>
      <c r="N83" s="109"/>
      <c r="O83" s="96"/>
      <c r="P83" s="96"/>
      <c r="Q83" s="95">
        <v>247152.34</v>
      </c>
      <c r="R83" s="95">
        <f t="shared" si="4"/>
        <v>40116.370000000003</v>
      </c>
      <c r="S83" s="96"/>
      <c r="T83" s="95">
        <v>40116.370000000003</v>
      </c>
      <c r="U83" s="96"/>
      <c r="V83" s="96"/>
      <c r="W83" s="96"/>
      <c r="X83" s="96"/>
      <c r="Y83" s="9">
        <f>IFERROR(VLOOKUP(B83,'[1]2122 Veterans Count'!$J:$M,4,FALSE),0)</f>
        <v>0</v>
      </c>
      <c r="Z83" s="97">
        <f t="shared" si="5"/>
        <v>0</v>
      </c>
    </row>
    <row r="84" spans="1:26" x14ac:dyDescent="0.25">
      <c r="A84" s="90" t="s">
        <v>48</v>
      </c>
      <c r="B84" s="91">
        <v>4100217281.7474999</v>
      </c>
      <c r="C84" s="90" t="s">
        <v>129</v>
      </c>
      <c r="D84" s="90" t="s">
        <v>50</v>
      </c>
      <c r="E84" s="90" t="s">
        <v>51</v>
      </c>
      <c r="F84" s="90" t="s">
        <v>128</v>
      </c>
      <c r="G84" s="93"/>
      <c r="H84" s="93"/>
      <c r="I84" s="93"/>
      <c r="J84" s="93"/>
      <c r="K84" s="95">
        <v>350591.41</v>
      </c>
      <c r="L84" s="96"/>
      <c r="M84" s="95">
        <f t="shared" si="3"/>
        <v>350591.41</v>
      </c>
      <c r="N84" s="109"/>
      <c r="O84" s="109"/>
      <c r="P84" s="96"/>
      <c r="Q84" s="95">
        <v>305529.03999999998</v>
      </c>
      <c r="R84" s="95">
        <f t="shared" si="4"/>
        <v>45062.37</v>
      </c>
      <c r="S84" s="96"/>
      <c r="T84" s="95">
        <v>45062.37</v>
      </c>
      <c r="U84" s="96"/>
      <c r="V84" s="96"/>
      <c r="W84" s="96"/>
      <c r="X84" s="96"/>
      <c r="Y84" s="9">
        <f>IFERROR(VLOOKUP(B84,'[1]2122 Veterans Count'!$J:$M,4,FALSE),0)</f>
        <v>0</v>
      </c>
      <c r="Z84" s="97">
        <f t="shared" si="5"/>
        <v>0</v>
      </c>
    </row>
    <row r="85" spans="1:26" x14ac:dyDescent="0.25">
      <c r="A85" s="90" t="s">
        <v>48</v>
      </c>
      <c r="B85" s="91">
        <v>4100217559.7474999</v>
      </c>
      <c r="C85" s="90" t="s">
        <v>130</v>
      </c>
      <c r="D85" s="90" t="s">
        <v>50</v>
      </c>
      <c r="E85" s="90" t="s">
        <v>51</v>
      </c>
      <c r="F85" s="90" t="s">
        <v>128</v>
      </c>
      <c r="G85" s="93"/>
      <c r="H85" s="93"/>
      <c r="I85" s="93"/>
      <c r="J85" s="93"/>
      <c r="K85" s="95">
        <v>36675.526899999997</v>
      </c>
      <c r="L85" s="100">
        <v>5916.8158999999996</v>
      </c>
      <c r="M85" s="95">
        <f t="shared" si="3"/>
        <v>42592.342799999999</v>
      </c>
      <c r="N85" s="109"/>
      <c r="O85" s="109"/>
      <c r="P85" s="96"/>
      <c r="Q85" s="95">
        <v>8951.0134999999991</v>
      </c>
      <c r="R85" s="95">
        <f t="shared" si="4"/>
        <v>33641.329299999998</v>
      </c>
      <c r="S85" s="96"/>
      <c r="T85" s="95">
        <v>33641.329299999998</v>
      </c>
      <c r="U85" s="96"/>
      <c r="V85" s="96"/>
      <c r="W85" s="96"/>
      <c r="X85" s="96"/>
      <c r="Y85" s="9">
        <f>IFERROR(VLOOKUP(B85,'[1]2122 Veterans Count'!$J:$M,4,FALSE),0)</f>
        <v>0</v>
      </c>
      <c r="Z85" s="97">
        <f t="shared" si="5"/>
        <v>0</v>
      </c>
    </row>
    <row r="86" spans="1:26" x14ac:dyDescent="0.25">
      <c r="A86" s="90" t="s">
        <v>48</v>
      </c>
      <c r="B86" s="91">
        <v>4100217737.7474999</v>
      </c>
      <c r="C86" s="90" t="s">
        <v>131</v>
      </c>
      <c r="D86" s="90" t="s">
        <v>50</v>
      </c>
      <c r="E86" s="90" t="s">
        <v>51</v>
      </c>
      <c r="F86" s="90" t="s">
        <v>128</v>
      </c>
      <c r="G86" s="93"/>
      <c r="H86" s="93"/>
      <c r="I86" s="93"/>
      <c r="J86" s="93"/>
      <c r="K86" s="95">
        <v>2244789.5392999998</v>
      </c>
      <c r="L86" s="95">
        <v>30308.6669</v>
      </c>
      <c r="M86" s="95">
        <f t="shared" si="3"/>
        <v>2275098.2061999999</v>
      </c>
      <c r="N86" s="115"/>
      <c r="O86" s="115"/>
      <c r="P86" s="96"/>
      <c r="Q86" s="95">
        <v>1629881.7794000001</v>
      </c>
      <c r="R86" s="95">
        <f t="shared" si="4"/>
        <v>645216.42680000002</v>
      </c>
      <c r="S86" s="96"/>
      <c r="T86" s="95">
        <v>645216.42680000002</v>
      </c>
      <c r="U86" s="96"/>
      <c r="V86" s="96"/>
      <c r="W86" s="96"/>
      <c r="X86" s="96"/>
      <c r="Y86" s="9">
        <f>IFERROR(VLOOKUP(B86,'[1]2122 Veterans Count'!$J:$M,4,FALSE),0)</f>
        <v>0</v>
      </c>
      <c r="Z86" s="97">
        <f t="shared" si="5"/>
        <v>0</v>
      </c>
    </row>
    <row r="87" spans="1:26" x14ac:dyDescent="0.25">
      <c r="A87" s="90" t="s">
        <v>48</v>
      </c>
      <c r="B87" s="91">
        <v>4100217796.7474999</v>
      </c>
      <c r="C87" s="90" t="s">
        <v>132</v>
      </c>
      <c r="D87" s="90" t="s">
        <v>50</v>
      </c>
      <c r="E87" s="90" t="s">
        <v>51</v>
      </c>
      <c r="F87" s="90" t="s">
        <v>128</v>
      </c>
      <c r="G87" s="93"/>
      <c r="H87" s="93"/>
      <c r="I87" s="93"/>
      <c r="J87" s="93"/>
      <c r="K87" s="95">
        <v>2242595.7355</v>
      </c>
      <c r="L87" s="100">
        <v>446750.9069</v>
      </c>
      <c r="M87" s="95">
        <f t="shared" si="3"/>
        <v>2689346.6423999998</v>
      </c>
      <c r="N87" s="100">
        <v>175899.9853</v>
      </c>
      <c r="O87" s="100">
        <v>0</v>
      </c>
      <c r="P87" s="96"/>
      <c r="Q87" s="95">
        <v>554423.39020000002</v>
      </c>
      <c r="R87" s="95">
        <f t="shared" si="4"/>
        <v>1959023.2668999999</v>
      </c>
      <c r="S87" s="96"/>
      <c r="T87" s="95">
        <v>1959023.2668999999</v>
      </c>
      <c r="U87" s="96"/>
      <c r="V87" s="96"/>
      <c r="W87" s="96"/>
      <c r="X87" s="96"/>
      <c r="Y87" s="9">
        <f>IFERROR(VLOOKUP(B87,'[1]2122 Veterans Count'!$J:$M,4,FALSE),0)</f>
        <v>3.2467532467532464E-2</v>
      </c>
      <c r="Z87" s="97">
        <f t="shared" si="5"/>
        <v>63604.651522727261</v>
      </c>
    </row>
    <row r="88" spans="1:26" x14ac:dyDescent="0.25">
      <c r="A88" s="90" t="s">
        <v>48</v>
      </c>
      <c r="B88" s="91">
        <v>4100217831.7474999</v>
      </c>
      <c r="C88" s="90" t="s">
        <v>133</v>
      </c>
      <c r="D88" s="90" t="s">
        <v>50</v>
      </c>
      <c r="E88" s="90" t="s">
        <v>51</v>
      </c>
      <c r="F88" s="90" t="s">
        <v>128</v>
      </c>
      <c r="G88" s="93"/>
      <c r="H88" s="93"/>
      <c r="I88" s="93"/>
      <c r="J88" s="93"/>
      <c r="K88" s="95">
        <v>6492.1392999999998</v>
      </c>
      <c r="L88" s="95">
        <v>470.53050000000002</v>
      </c>
      <c r="M88" s="95">
        <f t="shared" si="3"/>
        <v>6962.6697999999997</v>
      </c>
      <c r="N88" s="109"/>
      <c r="O88" s="109"/>
      <c r="P88" s="96"/>
      <c r="Q88" s="95">
        <v>448.20049999999998</v>
      </c>
      <c r="R88" s="95">
        <f t="shared" si="4"/>
        <v>6514.4692999999997</v>
      </c>
      <c r="S88" s="96"/>
      <c r="T88" s="95">
        <v>6514.4692999999997</v>
      </c>
      <c r="U88" s="96"/>
      <c r="V88" s="96"/>
      <c r="W88" s="96"/>
      <c r="X88" s="96"/>
      <c r="Y88" s="9">
        <f>IFERROR(VLOOKUP(B88,'[1]2122 Veterans Count'!$J:$M,4,FALSE),0)</f>
        <v>2.9411764705882353E-2</v>
      </c>
      <c r="Z88" s="97">
        <f t="shared" si="5"/>
        <v>191.60203823529412</v>
      </c>
    </row>
    <row r="89" spans="1:26" x14ac:dyDescent="0.25">
      <c r="A89" s="90" t="s">
        <v>48</v>
      </c>
      <c r="B89" s="91">
        <v>4100217832.7474999</v>
      </c>
      <c r="C89" s="90" t="s">
        <v>134</v>
      </c>
      <c r="D89" s="90" t="s">
        <v>50</v>
      </c>
      <c r="E89" s="90" t="s">
        <v>51</v>
      </c>
      <c r="F89" s="90" t="s">
        <v>128</v>
      </c>
      <c r="G89" s="93"/>
      <c r="H89" s="93"/>
      <c r="I89" s="93"/>
      <c r="J89" s="93"/>
      <c r="K89" s="95">
        <v>850608.79</v>
      </c>
      <c r="L89" s="115"/>
      <c r="M89" s="95">
        <f t="shared" si="3"/>
        <v>850608.79</v>
      </c>
      <c r="N89" s="96"/>
      <c r="O89" s="109"/>
      <c r="P89" s="96"/>
      <c r="Q89" s="95">
        <v>508537.81</v>
      </c>
      <c r="R89" s="95">
        <f t="shared" si="4"/>
        <v>342070.98</v>
      </c>
      <c r="S89" s="96"/>
      <c r="T89" s="95">
        <v>342070.98</v>
      </c>
      <c r="U89" s="96"/>
      <c r="V89" s="96"/>
      <c r="W89" s="96"/>
      <c r="X89" s="96"/>
      <c r="Y89" s="9">
        <f>IFERROR(VLOOKUP(B89,'[1]2122 Veterans Count'!$J:$M,4,FALSE),0)</f>
        <v>0</v>
      </c>
      <c r="Z89" s="97">
        <f t="shared" si="5"/>
        <v>0</v>
      </c>
    </row>
    <row r="90" spans="1:26" x14ac:dyDescent="0.25">
      <c r="A90" s="90" t="s">
        <v>48</v>
      </c>
      <c r="B90" s="91">
        <v>4100217835.7474999</v>
      </c>
      <c r="C90" s="90" t="s">
        <v>135</v>
      </c>
      <c r="D90" s="90" t="s">
        <v>50</v>
      </c>
      <c r="E90" s="90" t="s">
        <v>51</v>
      </c>
      <c r="F90" s="90" t="s">
        <v>128</v>
      </c>
      <c r="G90" s="93"/>
      <c r="H90" s="93"/>
      <c r="I90" s="93"/>
      <c r="J90" s="93"/>
      <c r="K90" s="95">
        <v>37300.780700000003</v>
      </c>
      <c r="L90" s="100">
        <v>7102.4393</v>
      </c>
      <c r="M90" s="95">
        <f t="shared" si="3"/>
        <v>44403.22</v>
      </c>
      <c r="N90" s="96"/>
      <c r="O90" s="109"/>
      <c r="P90" s="96"/>
      <c r="Q90" s="95">
        <v>26.912700000000001</v>
      </c>
      <c r="R90" s="95">
        <f t="shared" si="4"/>
        <v>44376.3073</v>
      </c>
      <c r="S90" s="96"/>
      <c r="T90" s="95">
        <v>44376.3073</v>
      </c>
      <c r="U90" s="96"/>
      <c r="V90" s="96"/>
      <c r="W90" s="96"/>
      <c r="X90" s="96"/>
      <c r="Y90" s="9">
        <f>IFERROR(VLOOKUP(B90,'[1]2122 Veterans Count'!$J:$M,4,FALSE),0)</f>
        <v>0</v>
      </c>
      <c r="Z90" s="97">
        <f t="shared" si="5"/>
        <v>0</v>
      </c>
    </row>
    <row r="91" spans="1:26" x14ac:dyDescent="0.25">
      <c r="A91" s="90" t="s">
        <v>48</v>
      </c>
      <c r="B91" s="91">
        <v>4100217842.7474999</v>
      </c>
      <c r="C91" s="90" t="s">
        <v>136</v>
      </c>
      <c r="D91" s="90" t="s">
        <v>50</v>
      </c>
      <c r="E91" s="90" t="s">
        <v>51</v>
      </c>
      <c r="F91" s="90" t="s">
        <v>128</v>
      </c>
      <c r="G91" s="93"/>
      <c r="H91" s="93"/>
      <c r="I91" s="93"/>
      <c r="J91" s="93"/>
      <c r="K91" s="95">
        <v>366488.05</v>
      </c>
      <c r="L91" s="115"/>
      <c r="M91" s="95">
        <f t="shared" si="3"/>
        <v>366488.05</v>
      </c>
      <c r="N91" s="96"/>
      <c r="O91" s="109"/>
      <c r="P91" s="96"/>
      <c r="Q91" s="95">
        <v>67959.539999999994</v>
      </c>
      <c r="R91" s="95">
        <f t="shared" si="4"/>
        <v>298528.51</v>
      </c>
      <c r="S91" s="96"/>
      <c r="T91" s="95">
        <v>298528.51</v>
      </c>
      <c r="U91" s="96"/>
      <c r="V91" s="96"/>
      <c r="W91" s="96"/>
      <c r="X91" s="96"/>
      <c r="Y91" s="9">
        <f>IFERROR(VLOOKUP(B91,'[1]2122 Veterans Count'!$J:$M,4,FALSE),0)</f>
        <v>0</v>
      </c>
      <c r="Z91" s="97">
        <f t="shared" si="5"/>
        <v>0</v>
      </c>
    </row>
    <row r="92" spans="1:26" x14ac:dyDescent="0.25">
      <c r="A92" s="90" t="s">
        <v>48</v>
      </c>
      <c r="B92" s="91">
        <v>4100217844.7474999</v>
      </c>
      <c r="C92" s="90" t="s">
        <v>137</v>
      </c>
      <c r="D92" s="90" t="s">
        <v>50</v>
      </c>
      <c r="E92" s="90" t="s">
        <v>51</v>
      </c>
      <c r="F92" s="90" t="s">
        <v>128</v>
      </c>
      <c r="G92" s="93"/>
      <c r="H92" s="93"/>
      <c r="I92" s="93"/>
      <c r="J92" s="93"/>
      <c r="K92" s="95">
        <v>1045078.307</v>
      </c>
      <c r="L92" s="109"/>
      <c r="M92" s="95">
        <f t="shared" si="3"/>
        <v>1045078.307</v>
      </c>
      <c r="N92" s="96"/>
      <c r="O92" s="96"/>
      <c r="P92" s="96"/>
      <c r="Q92" s="95">
        <v>276278.84999999998</v>
      </c>
      <c r="R92" s="95">
        <f t="shared" si="4"/>
        <v>768799.45700000005</v>
      </c>
      <c r="S92" s="96"/>
      <c r="T92" s="95">
        <v>768799.45700000005</v>
      </c>
      <c r="U92" s="96"/>
      <c r="V92" s="96"/>
      <c r="W92" s="96"/>
      <c r="X92" s="96"/>
      <c r="Y92" s="9">
        <f>IFERROR(VLOOKUP(B92,'[1]2122 Veterans Count'!$J:$M,4,FALSE),0)</f>
        <v>0</v>
      </c>
      <c r="Z92" s="97">
        <f t="shared" si="5"/>
        <v>0</v>
      </c>
    </row>
    <row r="93" spans="1:26" x14ac:dyDescent="0.25">
      <c r="A93" s="90" t="s">
        <v>48</v>
      </c>
      <c r="B93" s="91">
        <v>4100217971.7474999</v>
      </c>
      <c r="C93" s="90" t="s">
        <v>138</v>
      </c>
      <c r="D93" s="90" t="s">
        <v>50</v>
      </c>
      <c r="E93" s="90" t="s">
        <v>51</v>
      </c>
      <c r="F93" s="90" t="s">
        <v>128</v>
      </c>
      <c r="G93" s="93"/>
      <c r="H93" s="93"/>
      <c r="I93" s="93"/>
      <c r="J93" s="93"/>
      <c r="K93" s="95">
        <v>2879799.6861999999</v>
      </c>
      <c r="L93" s="100">
        <v>378799.59409999999</v>
      </c>
      <c r="M93" s="95">
        <f t="shared" si="3"/>
        <v>3258599.2802999998</v>
      </c>
      <c r="N93" s="100">
        <v>735353.03940000001</v>
      </c>
      <c r="O93" s="100">
        <v>0</v>
      </c>
      <c r="P93" s="96"/>
      <c r="Q93" s="100">
        <v>918948.11560000002</v>
      </c>
      <c r="R93" s="95">
        <f t="shared" si="4"/>
        <v>1604298.1253</v>
      </c>
      <c r="S93" s="96"/>
      <c r="T93" s="95">
        <v>1604298.1253</v>
      </c>
      <c r="U93" s="96"/>
      <c r="V93" s="96"/>
      <c r="W93" s="96"/>
      <c r="X93" s="96"/>
      <c r="Y93" s="9">
        <f>IFERROR(VLOOKUP(B93,'[1]2122 Veterans Count'!$J:$M,4,FALSE),0)</f>
        <v>3.125E-2</v>
      </c>
      <c r="Z93" s="97">
        <f t="shared" si="5"/>
        <v>50134.316415624999</v>
      </c>
    </row>
    <row r="94" spans="1:26" x14ac:dyDescent="0.25">
      <c r="A94" s="90" t="s">
        <v>48</v>
      </c>
      <c r="B94" s="91">
        <v>4100209511.7470002</v>
      </c>
      <c r="C94" s="90" t="s">
        <v>139</v>
      </c>
      <c r="D94" s="90" t="s">
        <v>50</v>
      </c>
      <c r="E94" s="90" t="s">
        <v>140</v>
      </c>
      <c r="F94" s="90" t="s">
        <v>141</v>
      </c>
      <c r="G94" s="93"/>
      <c r="H94" s="93"/>
      <c r="I94" s="93"/>
      <c r="J94" s="93"/>
      <c r="K94" s="95">
        <v>25902.06</v>
      </c>
      <c r="L94" s="115"/>
      <c r="M94" s="95">
        <f t="shared" si="3"/>
        <v>25902.06</v>
      </c>
      <c r="N94" s="115"/>
      <c r="O94" s="115"/>
      <c r="P94" s="96"/>
      <c r="Q94" s="115"/>
      <c r="R94" s="95">
        <f t="shared" si="4"/>
        <v>25902.06</v>
      </c>
      <c r="S94" s="96"/>
      <c r="T94" s="95">
        <v>25902.06</v>
      </c>
      <c r="U94" s="96"/>
      <c r="V94" s="96"/>
      <c r="W94" s="96"/>
      <c r="X94" s="96"/>
      <c r="Y94" s="9">
        <f>IFERROR(VLOOKUP(B94,'[1]2122 Veterans Count'!$J:$M,4,FALSE),0)</f>
        <v>0</v>
      </c>
      <c r="Z94" s="97">
        <f t="shared" si="5"/>
        <v>0</v>
      </c>
    </row>
    <row r="95" spans="1:26" x14ac:dyDescent="0.25">
      <c r="A95" s="90" t="s">
        <v>48</v>
      </c>
      <c r="B95" s="91">
        <v>4100413655.836</v>
      </c>
      <c r="C95" s="90" t="s">
        <v>142</v>
      </c>
      <c r="D95" s="90" t="s">
        <v>50</v>
      </c>
      <c r="E95" s="90" t="s">
        <v>140</v>
      </c>
      <c r="F95" s="90" t="s">
        <v>141</v>
      </c>
      <c r="G95" s="93"/>
      <c r="H95" s="93"/>
      <c r="I95" s="93"/>
      <c r="J95" s="93"/>
      <c r="K95" s="95">
        <v>3322349.3080000002</v>
      </c>
      <c r="L95" s="95">
        <v>592726.64610000001</v>
      </c>
      <c r="M95" s="95">
        <f t="shared" si="3"/>
        <v>3915075.9541000002</v>
      </c>
      <c r="N95" s="95">
        <v>2089231.09</v>
      </c>
      <c r="O95" s="95">
        <v>0</v>
      </c>
      <c r="P95" s="95">
        <v>1841.9675999999999</v>
      </c>
      <c r="Q95" s="95">
        <v>50163.980600000003</v>
      </c>
      <c r="R95" s="95">
        <f t="shared" si="4"/>
        <v>1773838.9158999999</v>
      </c>
      <c r="S95" s="96"/>
      <c r="T95" s="95">
        <v>1773838.9158999999</v>
      </c>
      <c r="U95" s="96"/>
      <c r="V95" s="96"/>
      <c r="W95" s="96"/>
      <c r="X95" s="109"/>
      <c r="Y95" s="9">
        <f>IFERROR(VLOOKUP(B95,'[1]2122 Veterans Count'!$J:$M,4,FALSE),0)</f>
        <v>0</v>
      </c>
      <c r="Z95" s="97">
        <f t="shared" si="5"/>
        <v>0</v>
      </c>
    </row>
    <row r="96" spans="1:26" x14ac:dyDescent="0.25">
      <c r="A96" s="90" t="s">
        <v>48</v>
      </c>
      <c r="B96" s="91">
        <v>4100415812.7470002</v>
      </c>
      <c r="C96" s="90" t="s">
        <v>143</v>
      </c>
      <c r="D96" s="90" t="s">
        <v>50</v>
      </c>
      <c r="E96" s="90" t="s">
        <v>140</v>
      </c>
      <c r="F96" s="90" t="s">
        <v>141</v>
      </c>
      <c r="G96" s="93"/>
      <c r="H96" s="93"/>
      <c r="I96" s="93"/>
      <c r="J96" s="93"/>
      <c r="K96" s="95">
        <v>118018.20389999999</v>
      </c>
      <c r="L96" s="95">
        <v>18540.825400000002</v>
      </c>
      <c r="M96" s="95">
        <f t="shared" si="3"/>
        <v>136559.02929999999</v>
      </c>
      <c r="N96" s="100">
        <v>46679.659200000002</v>
      </c>
      <c r="O96" s="100">
        <v>0</v>
      </c>
      <c r="P96" s="96"/>
      <c r="Q96" s="95">
        <v>2368.9690000000001</v>
      </c>
      <c r="R96" s="95">
        <f>SUM(S96:X96)</f>
        <v>87510.401100000003</v>
      </c>
      <c r="S96" s="96"/>
      <c r="T96" s="95">
        <v>87510.401100000003</v>
      </c>
      <c r="U96" s="96"/>
      <c r="V96" s="96"/>
      <c r="W96" s="96"/>
      <c r="X96" s="109"/>
      <c r="Y96" s="9">
        <f>IFERROR(VLOOKUP(B96,'[1]2122 Veterans Count'!$J:$M,4,FALSE),0)</f>
        <v>0</v>
      </c>
      <c r="Z96" s="97">
        <f t="shared" si="5"/>
        <v>0</v>
      </c>
    </row>
    <row r="97" spans="1:26" x14ac:dyDescent="0.25">
      <c r="A97" s="90" t="s">
        <v>48</v>
      </c>
      <c r="B97" s="91">
        <v>4100415828.7470002</v>
      </c>
      <c r="C97" s="90" t="s">
        <v>144</v>
      </c>
      <c r="D97" s="90" t="s">
        <v>50</v>
      </c>
      <c r="E97" s="90" t="s">
        <v>140</v>
      </c>
      <c r="F97" s="90" t="s">
        <v>141</v>
      </c>
      <c r="G97" s="93"/>
      <c r="H97" s="93"/>
      <c r="I97" s="93"/>
      <c r="J97" s="93"/>
      <c r="K97" s="95">
        <v>372799.533</v>
      </c>
      <c r="L97" s="95">
        <v>57505.6711</v>
      </c>
      <c r="M97" s="95">
        <f t="shared" si="3"/>
        <v>430305.20409999997</v>
      </c>
      <c r="N97" s="115"/>
      <c r="O97" s="115"/>
      <c r="P97" s="96"/>
      <c r="Q97" s="95">
        <v>3.7238000000000002</v>
      </c>
      <c r="R97" s="95">
        <f t="shared" si="4"/>
        <v>430301.4803</v>
      </c>
      <c r="S97" s="96"/>
      <c r="T97" s="95">
        <v>430301.4803</v>
      </c>
      <c r="U97" s="96"/>
      <c r="V97" s="96"/>
      <c r="W97" s="96"/>
      <c r="X97" s="109"/>
      <c r="Y97" s="9">
        <f>IFERROR(VLOOKUP(B97,'[1]2122 Veterans Count'!$J:$M,4,FALSE),0)</f>
        <v>0</v>
      </c>
      <c r="Z97" s="97">
        <f t="shared" si="5"/>
        <v>0</v>
      </c>
    </row>
    <row r="98" spans="1:26" s="134" customFormat="1" x14ac:dyDescent="0.25">
      <c r="A98" s="125" t="s">
        <v>48</v>
      </c>
      <c r="B98" s="126">
        <v>4100209566.8354998</v>
      </c>
      <c r="C98" s="125" t="s">
        <v>145</v>
      </c>
      <c r="D98" s="125" t="s">
        <v>50</v>
      </c>
      <c r="E98" s="125" t="s">
        <v>146</v>
      </c>
      <c r="F98" s="125" t="s">
        <v>103</v>
      </c>
      <c r="G98" s="127"/>
      <c r="H98" s="127"/>
      <c r="I98" s="127"/>
      <c r="J98" s="127"/>
      <c r="K98" s="128">
        <v>1478351.8736</v>
      </c>
      <c r="L98" s="128">
        <v>302474.97519999999</v>
      </c>
      <c r="M98" s="128">
        <f>+K98+L98</f>
        <v>1780826.8488</v>
      </c>
      <c r="N98" s="129">
        <v>47428.9035</v>
      </c>
      <c r="O98" s="130">
        <f>1663932.3335-1616503.43</f>
        <v>47428.903500000015</v>
      </c>
      <c r="P98" s="131"/>
      <c r="Q98" s="128">
        <v>69465.608699999997</v>
      </c>
      <c r="R98" s="128">
        <f t="shared" si="4"/>
        <v>1616503.43</v>
      </c>
      <c r="S98" s="131"/>
      <c r="T98" s="132">
        <v>1616503.43</v>
      </c>
      <c r="U98" s="131"/>
      <c r="V98" s="131"/>
      <c r="W98" s="131"/>
      <c r="X98" s="133"/>
      <c r="Y98" s="9">
        <f>IFERROR(VLOOKUP(B98,'[1]2122 Veterans Count'!$J:$M,4,FALSE),0)</f>
        <v>5.3240740740740741E-2</v>
      </c>
      <c r="Z98" s="97">
        <f t="shared" si="5"/>
        <v>86063.84002314815</v>
      </c>
    </row>
    <row r="99" spans="1:26" s="134" customFormat="1" x14ac:dyDescent="0.25">
      <c r="A99" s="125" t="s">
        <v>48</v>
      </c>
      <c r="B99" s="126">
        <v>4100226958.8354998</v>
      </c>
      <c r="C99" s="125" t="s">
        <v>147</v>
      </c>
      <c r="D99" s="125" t="s">
        <v>50</v>
      </c>
      <c r="E99" s="125" t="s">
        <v>146</v>
      </c>
      <c r="F99" s="125" t="s">
        <v>103</v>
      </c>
      <c r="G99" s="127"/>
      <c r="H99" s="127"/>
      <c r="I99" s="127"/>
      <c r="J99" s="127"/>
      <c r="K99" s="128">
        <v>2565044.1540999999</v>
      </c>
      <c r="L99" s="128">
        <v>0</v>
      </c>
      <c r="M99" s="128">
        <f t="shared" si="3"/>
        <v>2565044.1540999999</v>
      </c>
      <c r="N99" s="129"/>
      <c r="O99" s="131"/>
      <c r="P99" s="131"/>
      <c r="Q99" s="132">
        <f>2565044.1541-2565044.1541</f>
        <v>0</v>
      </c>
      <c r="R99" s="128">
        <f>SUM(S99:X99)</f>
        <v>2565044.15</v>
      </c>
      <c r="S99" s="131"/>
      <c r="T99" s="132">
        <v>2565044.15</v>
      </c>
      <c r="U99" s="131"/>
      <c r="V99" s="131"/>
      <c r="W99" s="131"/>
      <c r="X99" s="133"/>
      <c r="Y99" s="9">
        <f>IFERROR(VLOOKUP(B99,'[1]2122 Veterans Count'!$J:$M,4,FALSE),0)</f>
        <v>0</v>
      </c>
      <c r="Z99" s="97">
        <f t="shared" si="5"/>
        <v>0</v>
      </c>
    </row>
    <row r="100" spans="1:26" x14ac:dyDescent="0.25">
      <c r="A100" s="90" t="s">
        <v>48</v>
      </c>
      <c r="B100" s="91">
        <v>4100202604.7470002</v>
      </c>
      <c r="C100" s="90" t="s">
        <v>148</v>
      </c>
      <c r="D100" s="90" t="s">
        <v>50</v>
      </c>
      <c r="E100" s="90" t="s">
        <v>146</v>
      </c>
      <c r="F100" s="90" t="s">
        <v>103</v>
      </c>
      <c r="G100" s="93"/>
      <c r="H100" s="93"/>
      <c r="I100" s="93"/>
      <c r="J100" s="93"/>
      <c r="K100" s="95">
        <v>3916200.5551</v>
      </c>
      <c r="L100" s="95">
        <v>719123.22699999996</v>
      </c>
      <c r="M100" s="95">
        <f>+K100+L100</f>
        <v>4635323.7820999995</v>
      </c>
      <c r="N100" s="95">
        <v>2021748.2390999999</v>
      </c>
      <c r="O100" s="95">
        <v>120</v>
      </c>
      <c r="P100" s="96"/>
      <c r="Q100" s="95">
        <v>1770823.9749</v>
      </c>
      <c r="R100" s="95">
        <f t="shared" si="4"/>
        <v>842631.56819999998</v>
      </c>
      <c r="S100" s="96"/>
      <c r="T100" s="95">
        <v>842631.56819999998</v>
      </c>
      <c r="U100" s="96"/>
      <c r="V100" s="96"/>
      <c r="W100" s="96"/>
      <c r="X100" s="96"/>
      <c r="Y100" s="9">
        <f>IFERROR(VLOOKUP(B100,'[1]2122 Veterans Count'!$J:$M,4,FALSE),0)</f>
        <v>1.7271157167530225E-2</v>
      </c>
      <c r="Z100" s="97">
        <f t="shared" si="5"/>
        <v>14553.222248704664</v>
      </c>
    </row>
    <row r="101" spans="1:26" x14ac:dyDescent="0.25">
      <c r="A101" s="90" t="s">
        <v>48</v>
      </c>
      <c r="B101" s="91">
        <v>4100202609.7470002</v>
      </c>
      <c r="C101" s="90" t="s">
        <v>149</v>
      </c>
      <c r="D101" s="90" t="s">
        <v>50</v>
      </c>
      <c r="E101" s="90" t="s">
        <v>146</v>
      </c>
      <c r="F101" s="90" t="s">
        <v>103</v>
      </c>
      <c r="G101" s="93"/>
      <c r="H101" s="93"/>
      <c r="I101" s="93"/>
      <c r="J101" s="93"/>
      <c r="K101" s="95">
        <v>964959.96790000005</v>
      </c>
      <c r="L101" s="95">
        <v>79994.3465</v>
      </c>
      <c r="M101" s="95">
        <f t="shared" si="3"/>
        <v>1044954.3144</v>
      </c>
      <c r="N101" s="95">
        <v>634743.54890000005</v>
      </c>
      <c r="O101" s="95">
        <v>0</v>
      </c>
      <c r="P101" s="96"/>
      <c r="Q101" s="95">
        <v>153774.81390000001</v>
      </c>
      <c r="R101" s="95">
        <f t="shared" si="4"/>
        <v>256435.9516</v>
      </c>
      <c r="S101" s="96"/>
      <c r="T101" s="95">
        <v>256435.9516</v>
      </c>
      <c r="U101" s="96"/>
      <c r="V101" s="96"/>
      <c r="W101" s="96"/>
      <c r="X101" s="96"/>
      <c r="Y101" s="9">
        <f>IFERROR(VLOOKUP(B101,'[1]2122 Veterans Count'!$J:$M,4,FALSE),0)</f>
        <v>1.893939393939394E-2</v>
      </c>
      <c r="Z101" s="97">
        <f t="shared" si="5"/>
        <v>4856.7415075757581</v>
      </c>
    </row>
    <row r="102" spans="1:26" x14ac:dyDescent="0.25">
      <c r="A102" s="90" t="s">
        <v>48</v>
      </c>
      <c r="B102" s="91">
        <v>4100202610.7470002</v>
      </c>
      <c r="C102" s="90" t="s">
        <v>150</v>
      </c>
      <c r="D102" s="90" t="s">
        <v>50</v>
      </c>
      <c r="E102" s="90" t="s">
        <v>146</v>
      </c>
      <c r="F102" s="90" t="s">
        <v>103</v>
      </c>
      <c r="G102" s="93"/>
      <c r="H102" s="93"/>
      <c r="I102" s="93"/>
      <c r="J102" s="93"/>
      <c r="K102" s="95">
        <v>1406774.6092000001</v>
      </c>
      <c r="L102" s="95">
        <v>417420.4399</v>
      </c>
      <c r="M102" s="95">
        <f t="shared" si="3"/>
        <v>1824195.0490999999</v>
      </c>
      <c r="N102" s="95">
        <v>1219182.0526000001</v>
      </c>
      <c r="O102" s="95">
        <v>0</v>
      </c>
      <c r="P102" s="96"/>
      <c r="Q102" s="95">
        <v>149350.56909999999</v>
      </c>
      <c r="R102" s="95">
        <f t="shared" si="4"/>
        <v>455662.42739999999</v>
      </c>
      <c r="S102" s="96"/>
      <c r="T102" s="95">
        <v>455662.42739999999</v>
      </c>
      <c r="U102" s="96"/>
      <c r="V102" s="96"/>
      <c r="W102" s="96"/>
      <c r="X102" s="96"/>
      <c r="Y102" s="9">
        <f>IFERROR(VLOOKUP(B102,'[1]2122 Veterans Count'!$J:$M,4,FALSE),0)</f>
        <v>8.4745762711864406E-3</v>
      </c>
      <c r="Z102" s="97">
        <f t="shared" si="5"/>
        <v>3861.5459949152541</v>
      </c>
    </row>
    <row r="103" spans="1:26" x14ac:dyDescent="0.25">
      <c r="A103" s="90" t="s">
        <v>48</v>
      </c>
      <c r="B103" s="91">
        <v>4100202817.7470002</v>
      </c>
      <c r="C103" s="90" t="s">
        <v>151</v>
      </c>
      <c r="D103" s="90" t="s">
        <v>50</v>
      </c>
      <c r="E103" s="90" t="s">
        <v>146</v>
      </c>
      <c r="F103" s="90" t="s">
        <v>103</v>
      </c>
      <c r="G103" s="93"/>
      <c r="H103" s="93"/>
      <c r="I103" s="93"/>
      <c r="J103" s="93"/>
      <c r="K103" s="95">
        <v>437014.14429999999</v>
      </c>
      <c r="L103" s="95">
        <v>137052.1477</v>
      </c>
      <c r="M103" s="95">
        <f t="shared" si="3"/>
        <v>574066.29200000002</v>
      </c>
      <c r="N103" s="95">
        <v>375944.32400000002</v>
      </c>
      <c r="O103" s="95">
        <v>0</v>
      </c>
      <c r="P103" s="96"/>
      <c r="Q103" s="95">
        <v>22569.9588</v>
      </c>
      <c r="R103" s="95">
        <f t="shared" si="4"/>
        <v>175552.0092</v>
      </c>
      <c r="S103" s="96"/>
      <c r="T103" s="95">
        <v>175552.0092</v>
      </c>
      <c r="U103" s="96"/>
      <c r="V103" s="96"/>
      <c r="W103" s="96"/>
      <c r="X103" s="96"/>
      <c r="Y103" s="9">
        <f>IFERROR(VLOOKUP(B103,'[1]2122 Veterans Count'!$J:$M,4,FALSE),0)</f>
        <v>2.8571428571428571E-2</v>
      </c>
      <c r="Z103" s="97">
        <f t="shared" si="5"/>
        <v>5015.7716914285711</v>
      </c>
    </row>
    <row r="104" spans="1:26" x14ac:dyDescent="0.25">
      <c r="A104" s="90" t="s">
        <v>48</v>
      </c>
      <c r="B104" s="91">
        <v>4100203570.7470002</v>
      </c>
      <c r="C104" s="90" t="s">
        <v>152</v>
      </c>
      <c r="D104" s="90" t="s">
        <v>50</v>
      </c>
      <c r="E104" s="90" t="s">
        <v>146</v>
      </c>
      <c r="F104" s="90" t="s">
        <v>103</v>
      </c>
      <c r="G104" s="93"/>
      <c r="H104" s="93"/>
      <c r="I104" s="93"/>
      <c r="J104" s="93"/>
      <c r="K104" s="95">
        <v>3136826.8769999999</v>
      </c>
      <c r="L104" s="95">
        <v>655263.27839999995</v>
      </c>
      <c r="M104" s="95">
        <f t="shared" si="3"/>
        <v>3792090.1553999996</v>
      </c>
      <c r="N104" s="95">
        <v>2534201.3281</v>
      </c>
      <c r="O104" s="95">
        <v>0</v>
      </c>
      <c r="P104" s="96"/>
      <c r="Q104" s="95">
        <v>194853.67610000001</v>
      </c>
      <c r="R104" s="95">
        <f t="shared" si="4"/>
        <v>1063035.1512</v>
      </c>
      <c r="S104" s="96"/>
      <c r="T104" s="95">
        <v>1063035.1512</v>
      </c>
      <c r="U104" s="96"/>
      <c r="V104" s="96"/>
      <c r="W104" s="96"/>
      <c r="X104" s="96"/>
      <c r="Y104" s="9">
        <f>IFERROR(VLOOKUP(B104,'[1]2122 Veterans Count'!$J:$M,4,FALSE),0)</f>
        <v>5.1813471502590676E-3</v>
      </c>
      <c r="Z104" s="97">
        <f t="shared" si="5"/>
        <v>5507.9541512953365</v>
      </c>
    </row>
    <row r="105" spans="1:26" x14ac:dyDescent="0.25">
      <c r="A105" s="90" t="s">
        <v>48</v>
      </c>
      <c r="B105" s="91">
        <v>4100203580.7470002</v>
      </c>
      <c r="C105" s="90" t="s">
        <v>153</v>
      </c>
      <c r="D105" s="90" t="s">
        <v>50</v>
      </c>
      <c r="E105" s="90" t="s">
        <v>146</v>
      </c>
      <c r="F105" s="90" t="s">
        <v>103</v>
      </c>
      <c r="G105" s="93"/>
      <c r="H105" s="93"/>
      <c r="I105" s="93"/>
      <c r="J105" s="93"/>
      <c r="K105" s="95">
        <v>2431968.4374000002</v>
      </c>
      <c r="L105" s="95">
        <v>460382.55949999997</v>
      </c>
      <c r="M105" s="95">
        <f t="shared" si="3"/>
        <v>2892350.9969000001</v>
      </c>
      <c r="N105" s="100">
        <v>1848003.5279999999</v>
      </c>
      <c r="O105" s="100">
        <v>269.49</v>
      </c>
      <c r="P105" s="96"/>
      <c r="Q105" s="95">
        <v>180744.54930000001</v>
      </c>
      <c r="R105" s="95">
        <f t="shared" si="4"/>
        <v>863333.42949999997</v>
      </c>
      <c r="S105" s="96"/>
      <c r="T105" s="95">
        <v>863333.42949999997</v>
      </c>
      <c r="U105" s="96"/>
      <c r="V105" s="96"/>
      <c r="W105" s="96"/>
      <c r="X105" s="96"/>
      <c r="Y105" s="9">
        <f>IFERROR(VLOOKUP(B105,'[1]2122 Veterans Count'!$J:$M,4,FALSE),0)</f>
        <v>1.5267175572519083E-2</v>
      </c>
      <c r="Z105" s="97">
        <f t="shared" si="5"/>
        <v>13180.663045801526</v>
      </c>
    </row>
    <row r="106" spans="1:26" x14ac:dyDescent="0.25">
      <c r="A106" s="90" t="s">
        <v>48</v>
      </c>
      <c r="B106" s="91">
        <v>4100203612.7470002</v>
      </c>
      <c r="C106" s="90" t="s">
        <v>154</v>
      </c>
      <c r="D106" s="90" t="s">
        <v>50</v>
      </c>
      <c r="E106" s="90" t="s">
        <v>146</v>
      </c>
      <c r="F106" s="90" t="s">
        <v>103</v>
      </c>
      <c r="G106" s="93"/>
      <c r="H106" s="93"/>
      <c r="I106" s="93"/>
      <c r="J106" s="93"/>
      <c r="K106" s="95">
        <v>4345226.2216999996</v>
      </c>
      <c r="L106" s="95">
        <v>758511.16590000002</v>
      </c>
      <c r="M106" s="95">
        <f t="shared" si="3"/>
        <v>5103737.3876</v>
      </c>
      <c r="N106" s="95">
        <v>3171730.0948000001</v>
      </c>
      <c r="O106" s="95">
        <v>0</v>
      </c>
      <c r="P106" s="96"/>
      <c r="Q106" s="95">
        <v>420009.38630000001</v>
      </c>
      <c r="R106" s="95">
        <f t="shared" si="4"/>
        <v>1511997.9064</v>
      </c>
      <c r="S106" s="96"/>
      <c r="T106" s="95">
        <v>1511997.9064</v>
      </c>
      <c r="U106" s="96"/>
      <c r="V106" s="96"/>
      <c r="W106" s="96"/>
      <c r="X106" s="96"/>
      <c r="Y106" s="9">
        <f>IFERROR(VLOOKUP(B106,'[1]2122 Veterans Count'!$J:$M,4,FALSE),0)</f>
        <v>1.5748031496062992E-2</v>
      </c>
      <c r="Z106" s="97">
        <f t="shared" si="5"/>
        <v>23810.990651968503</v>
      </c>
    </row>
    <row r="107" spans="1:26" x14ac:dyDescent="0.25">
      <c r="A107" s="90" t="s">
        <v>48</v>
      </c>
      <c r="B107" s="91">
        <v>4100203615.7470002</v>
      </c>
      <c r="C107" s="90" t="s">
        <v>155</v>
      </c>
      <c r="D107" s="90" t="s">
        <v>50</v>
      </c>
      <c r="E107" s="90" t="s">
        <v>146</v>
      </c>
      <c r="F107" s="90" t="s">
        <v>103</v>
      </c>
      <c r="G107" s="93"/>
      <c r="H107" s="93"/>
      <c r="I107" s="93"/>
      <c r="J107" s="93"/>
      <c r="K107" s="95">
        <v>2909723.4541000002</v>
      </c>
      <c r="L107" s="95">
        <v>581195.86450000003</v>
      </c>
      <c r="M107" s="95">
        <f t="shared" si="3"/>
        <v>3490919.3186000003</v>
      </c>
      <c r="N107" s="100">
        <v>2387760.1974999998</v>
      </c>
      <c r="O107" s="100">
        <v>1000</v>
      </c>
      <c r="P107" s="96"/>
      <c r="Q107" s="95">
        <v>176592.82269999999</v>
      </c>
      <c r="R107" s="95">
        <f t="shared" si="4"/>
        <v>925566.29850000003</v>
      </c>
      <c r="S107" s="96"/>
      <c r="T107" s="95">
        <v>925566.29850000003</v>
      </c>
      <c r="U107" s="96"/>
      <c r="V107" s="96"/>
      <c r="W107" s="96"/>
      <c r="X107" s="96"/>
      <c r="Y107" s="9">
        <f>IFERROR(VLOOKUP(B107,'[1]2122 Veterans Count'!$J:$M,4,FALSE),0)</f>
        <v>1.6103059581320451E-3</v>
      </c>
      <c r="Z107" s="97">
        <f t="shared" si="5"/>
        <v>1490.444925120773</v>
      </c>
    </row>
    <row r="108" spans="1:26" x14ac:dyDescent="0.25">
      <c r="A108" s="90" t="s">
        <v>48</v>
      </c>
      <c r="B108" s="91">
        <v>4100203795.8354998</v>
      </c>
      <c r="C108" s="90" t="s">
        <v>156</v>
      </c>
      <c r="D108" s="90" t="s">
        <v>50</v>
      </c>
      <c r="E108" s="90" t="s">
        <v>146</v>
      </c>
      <c r="F108" s="90" t="s">
        <v>103</v>
      </c>
      <c r="G108" s="93"/>
      <c r="H108" s="93"/>
      <c r="I108" s="93"/>
      <c r="J108" s="93"/>
      <c r="K108" s="95">
        <v>7028.5456999999997</v>
      </c>
      <c r="L108" s="95">
        <v>1217.941</v>
      </c>
      <c r="M108" s="95">
        <f t="shared" si="3"/>
        <v>8246.4866999999995</v>
      </c>
      <c r="N108" s="95">
        <v>3283.7631999999999</v>
      </c>
      <c r="O108" s="95">
        <v>0</v>
      </c>
      <c r="P108" s="96"/>
      <c r="Q108" s="95">
        <v>206.61359999999999</v>
      </c>
      <c r="R108" s="95">
        <f t="shared" si="4"/>
        <v>4756.1099000000004</v>
      </c>
      <c r="S108" s="96"/>
      <c r="T108" s="95">
        <v>4756.1099000000004</v>
      </c>
      <c r="U108" s="96"/>
      <c r="V108" s="96"/>
      <c r="W108" s="96"/>
      <c r="X108" s="96"/>
      <c r="Y108" s="9">
        <f>IFERROR(VLOOKUP(B108,'[1]2122 Veterans Count'!$J:$M,4,FALSE),0)</f>
        <v>0</v>
      </c>
      <c r="Z108" s="97">
        <f t="shared" si="5"/>
        <v>0</v>
      </c>
    </row>
    <row r="109" spans="1:26" x14ac:dyDescent="0.25">
      <c r="A109" s="90" t="s">
        <v>48</v>
      </c>
      <c r="B109" s="91">
        <v>4100204512.7470002</v>
      </c>
      <c r="C109" s="90" t="s">
        <v>157</v>
      </c>
      <c r="D109" s="90" t="s">
        <v>50</v>
      </c>
      <c r="E109" s="90" t="s">
        <v>146</v>
      </c>
      <c r="F109" s="90" t="s">
        <v>103</v>
      </c>
      <c r="G109" s="93"/>
      <c r="H109" s="93"/>
      <c r="I109" s="93"/>
      <c r="J109" s="93"/>
      <c r="K109" s="95">
        <v>2146247.0987999998</v>
      </c>
      <c r="L109" s="95">
        <v>489318.91970000003</v>
      </c>
      <c r="M109" s="95">
        <f t="shared" si="3"/>
        <v>2635566.0184999998</v>
      </c>
      <c r="N109" s="95">
        <v>1630640.0765</v>
      </c>
      <c r="O109" s="95">
        <v>0</v>
      </c>
      <c r="P109" s="96"/>
      <c r="Q109" s="95">
        <v>97986.540299999993</v>
      </c>
      <c r="R109" s="95">
        <f t="shared" si="4"/>
        <v>906939.40170000005</v>
      </c>
      <c r="S109" s="96"/>
      <c r="T109" s="95">
        <v>906939.40170000005</v>
      </c>
      <c r="U109" s="96"/>
      <c r="V109" s="96"/>
      <c r="W109" s="96"/>
      <c r="X109" s="96"/>
      <c r="Y109" s="9">
        <f>IFERROR(VLOOKUP(B109,'[1]2122 Veterans Count'!$J:$M,4,FALSE),0)</f>
        <v>8.5287846481876331E-3</v>
      </c>
      <c r="Z109" s="97">
        <f t="shared" si="5"/>
        <v>7735.0908460554374</v>
      </c>
    </row>
    <row r="110" spans="1:26" x14ac:dyDescent="0.25">
      <c r="A110" s="90" t="s">
        <v>48</v>
      </c>
      <c r="B110" s="91">
        <v>4100204620.7470002</v>
      </c>
      <c r="C110" s="90" t="s">
        <v>158</v>
      </c>
      <c r="D110" s="90" t="s">
        <v>50</v>
      </c>
      <c r="E110" s="90" t="s">
        <v>146</v>
      </c>
      <c r="F110" s="90" t="s">
        <v>103</v>
      </c>
      <c r="G110" s="93"/>
      <c r="H110" s="93"/>
      <c r="I110" s="93"/>
      <c r="J110" s="93"/>
      <c r="K110" s="95">
        <v>5310669.3367999997</v>
      </c>
      <c r="L110" s="95">
        <v>1064794.943</v>
      </c>
      <c r="M110" s="95">
        <f t="shared" si="3"/>
        <v>6375464.2797999997</v>
      </c>
      <c r="N110" s="95">
        <v>3677860.2022000002</v>
      </c>
      <c r="O110" s="95">
        <v>6</v>
      </c>
      <c r="P110" s="96"/>
      <c r="Q110" s="95">
        <v>903618.99679999996</v>
      </c>
      <c r="R110" s="95">
        <f t="shared" si="4"/>
        <v>1793979.0807</v>
      </c>
      <c r="S110" s="96"/>
      <c r="T110" s="95">
        <v>1793979.0807</v>
      </c>
      <c r="U110" s="96"/>
      <c r="V110" s="96"/>
      <c r="W110" s="96"/>
      <c r="X110" s="96"/>
      <c r="Y110" s="9">
        <f>IFERROR(VLOOKUP(B110,'[1]2122 Veterans Count'!$J:$M,4,FALSE),0)</f>
        <v>1.1243386243386243E-2</v>
      </c>
      <c r="Z110" s="97">
        <f t="shared" si="5"/>
        <v>20170.399716865079</v>
      </c>
    </row>
    <row r="111" spans="1:26" x14ac:dyDescent="0.25">
      <c r="A111" s="90" t="s">
        <v>48</v>
      </c>
      <c r="B111" s="91">
        <v>4100204624.7470002</v>
      </c>
      <c r="C111" s="90" t="s">
        <v>159</v>
      </c>
      <c r="D111" s="90" t="s">
        <v>50</v>
      </c>
      <c r="E111" s="90" t="s">
        <v>146</v>
      </c>
      <c r="F111" s="90" t="s">
        <v>103</v>
      </c>
      <c r="G111" s="93"/>
      <c r="H111" s="93"/>
      <c r="I111" s="93"/>
      <c r="J111" s="93"/>
      <c r="K111" s="95">
        <v>649766.02159999998</v>
      </c>
      <c r="L111" s="95">
        <v>141078.5814</v>
      </c>
      <c r="M111" s="95">
        <f t="shared" si="3"/>
        <v>790844.603</v>
      </c>
      <c r="N111" s="115"/>
      <c r="O111" s="115"/>
      <c r="P111" s="96"/>
      <c r="Q111" s="95">
        <v>314709.6778</v>
      </c>
      <c r="R111" s="95">
        <f t="shared" si="4"/>
        <v>476134.9252</v>
      </c>
      <c r="S111" s="96"/>
      <c r="T111" s="95">
        <v>476134.9252</v>
      </c>
      <c r="U111" s="96"/>
      <c r="V111" s="96"/>
      <c r="W111" s="96"/>
      <c r="X111" s="96"/>
      <c r="Y111" s="9">
        <f>IFERROR(VLOOKUP(B111,'[1]2122 Veterans Count'!$J:$M,4,FALSE),0)</f>
        <v>1.8867924528301886E-2</v>
      </c>
      <c r="Z111" s="97">
        <f t="shared" si="5"/>
        <v>8983.6778339622633</v>
      </c>
    </row>
    <row r="112" spans="1:26" x14ac:dyDescent="0.25">
      <c r="A112" s="90" t="s">
        <v>48</v>
      </c>
      <c r="B112" s="91">
        <v>4100204733.7470002</v>
      </c>
      <c r="C112" s="90" t="s">
        <v>160</v>
      </c>
      <c r="D112" s="90" t="s">
        <v>50</v>
      </c>
      <c r="E112" s="90" t="s">
        <v>146</v>
      </c>
      <c r="F112" s="90" t="s">
        <v>103</v>
      </c>
      <c r="G112" s="93"/>
      <c r="H112" s="93"/>
      <c r="I112" s="93"/>
      <c r="J112" s="93"/>
      <c r="K112" s="95">
        <v>63548.483399999997</v>
      </c>
      <c r="L112" s="95">
        <v>15869.793900000001</v>
      </c>
      <c r="M112" s="95">
        <f t="shared" si="3"/>
        <v>79418.277300000002</v>
      </c>
      <c r="N112" s="100">
        <v>41471.7477</v>
      </c>
      <c r="O112" s="100">
        <v>0</v>
      </c>
      <c r="P112" s="96"/>
      <c r="Q112" s="95">
        <v>385.24759999999998</v>
      </c>
      <c r="R112" s="95">
        <f t="shared" si="4"/>
        <v>37561.282099999997</v>
      </c>
      <c r="S112" s="96"/>
      <c r="T112" s="95">
        <v>37561.282099999997</v>
      </c>
      <c r="U112" s="96"/>
      <c r="V112" s="96"/>
      <c r="W112" s="96"/>
      <c r="X112" s="96"/>
      <c r="Y112" s="9">
        <f>IFERROR(VLOOKUP(B112,'[1]2122 Veterans Count'!$J:$M,4,FALSE),0)</f>
        <v>0</v>
      </c>
      <c r="Z112" s="97">
        <f t="shared" si="5"/>
        <v>0</v>
      </c>
    </row>
    <row r="113" spans="1:26" x14ac:dyDescent="0.25">
      <c r="A113" s="90" t="s">
        <v>48</v>
      </c>
      <c r="B113" s="91">
        <v>4100204743.7470002</v>
      </c>
      <c r="C113" s="90" t="s">
        <v>161</v>
      </c>
      <c r="D113" s="90" t="s">
        <v>50</v>
      </c>
      <c r="E113" s="90" t="s">
        <v>146</v>
      </c>
      <c r="F113" s="90" t="s">
        <v>103</v>
      </c>
      <c r="G113" s="93"/>
      <c r="H113" s="93"/>
      <c r="I113" s="93"/>
      <c r="J113" s="93"/>
      <c r="K113" s="95">
        <v>517125.92729999998</v>
      </c>
      <c r="L113" s="95">
        <v>115002.1557</v>
      </c>
      <c r="M113" s="95">
        <f t="shared" si="3"/>
        <v>632128.08299999998</v>
      </c>
      <c r="N113" s="115"/>
      <c r="O113" s="115"/>
      <c r="P113" s="96"/>
      <c r="Q113" s="95">
        <v>72781.444399999993</v>
      </c>
      <c r="R113" s="95">
        <f t="shared" si="4"/>
        <v>559346.63859999995</v>
      </c>
      <c r="S113" s="96"/>
      <c r="T113" s="95">
        <v>559346.63859999995</v>
      </c>
      <c r="U113" s="96"/>
      <c r="V113" s="96"/>
      <c r="W113" s="96"/>
      <c r="X113" s="96"/>
      <c r="Y113" s="9">
        <f>IFERROR(VLOOKUP(B113,'[1]2122 Veterans Count'!$J:$M,4,FALSE),0)</f>
        <v>0</v>
      </c>
      <c r="Z113" s="97">
        <f t="shared" si="5"/>
        <v>0</v>
      </c>
    </row>
    <row r="114" spans="1:26" x14ac:dyDescent="0.25">
      <c r="A114" s="90" t="s">
        <v>48</v>
      </c>
      <c r="B114" s="91">
        <v>4100204954.7470002</v>
      </c>
      <c r="C114" s="90" t="s">
        <v>162</v>
      </c>
      <c r="D114" s="90" t="s">
        <v>50</v>
      </c>
      <c r="E114" s="90" t="s">
        <v>146</v>
      </c>
      <c r="F114" s="90" t="s">
        <v>103</v>
      </c>
      <c r="G114" s="93"/>
      <c r="H114" s="93"/>
      <c r="I114" s="93"/>
      <c r="J114" s="93"/>
      <c r="K114" s="95">
        <v>39226.131099999999</v>
      </c>
      <c r="L114" s="100">
        <v>10683.3917</v>
      </c>
      <c r="M114" s="95">
        <f t="shared" si="3"/>
        <v>49909.522799999999</v>
      </c>
      <c r="N114" s="115"/>
      <c r="O114" s="115"/>
      <c r="P114" s="96"/>
      <c r="Q114" s="115"/>
      <c r="R114" s="95">
        <f t="shared" si="4"/>
        <v>49909.522799999999</v>
      </c>
      <c r="S114" s="96"/>
      <c r="T114" s="95">
        <v>49909.522799999999</v>
      </c>
      <c r="U114" s="96"/>
      <c r="V114" s="96"/>
      <c r="W114" s="96"/>
      <c r="X114" s="96"/>
      <c r="Y114" s="9">
        <f>IFERROR(VLOOKUP(B114,'[1]2122 Veterans Count'!$J:$M,4,FALSE),0)</f>
        <v>0</v>
      </c>
      <c r="Z114" s="97">
        <f t="shared" si="5"/>
        <v>0</v>
      </c>
    </row>
    <row r="115" spans="1:26" x14ac:dyDescent="0.25">
      <c r="A115" s="90" t="s">
        <v>48</v>
      </c>
      <c r="B115" s="91">
        <v>4100209530.7470002</v>
      </c>
      <c r="C115" s="90" t="s">
        <v>163</v>
      </c>
      <c r="D115" s="90" t="s">
        <v>50</v>
      </c>
      <c r="E115" s="90" t="s">
        <v>146</v>
      </c>
      <c r="F115" s="90" t="s">
        <v>103</v>
      </c>
      <c r="G115" s="93"/>
      <c r="H115" s="93"/>
      <c r="I115" s="93"/>
      <c r="J115" s="93"/>
      <c r="K115" s="95">
        <v>273019.62400000001</v>
      </c>
      <c r="L115" s="95">
        <v>46959.49</v>
      </c>
      <c r="M115" s="95">
        <f t="shared" si="3"/>
        <v>319979.114</v>
      </c>
      <c r="N115" s="115"/>
      <c r="O115" s="115"/>
      <c r="P115" s="96"/>
      <c r="Q115" s="95">
        <v>101616</v>
      </c>
      <c r="R115" s="95">
        <f t="shared" si="4"/>
        <v>218363.114</v>
      </c>
      <c r="S115" s="96"/>
      <c r="T115" s="95">
        <v>218363.114</v>
      </c>
      <c r="U115" s="96"/>
      <c r="V115" s="96"/>
      <c r="W115" s="96"/>
      <c r="X115" s="96"/>
      <c r="Y115" s="9">
        <f>IFERROR(VLOOKUP(B115,'[1]2122 Veterans Count'!$J:$M,4,FALSE),0)</f>
        <v>0</v>
      </c>
      <c r="Z115" s="97">
        <f t="shared" si="5"/>
        <v>0</v>
      </c>
    </row>
    <row r="116" spans="1:26" x14ac:dyDescent="0.25">
      <c r="A116" s="90" t="s">
        <v>48</v>
      </c>
      <c r="B116" s="91">
        <v>4100209636.7470002</v>
      </c>
      <c r="C116" s="90" t="s">
        <v>164</v>
      </c>
      <c r="D116" s="90" t="s">
        <v>50</v>
      </c>
      <c r="E116" s="90" t="s">
        <v>146</v>
      </c>
      <c r="F116" s="90" t="s">
        <v>103</v>
      </c>
      <c r="G116" s="93"/>
      <c r="H116" s="93"/>
      <c r="I116" s="93"/>
      <c r="J116" s="93"/>
      <c r="K116" s="95">
        <v>306257.77120000002</v>
      </c>
      <c r="L116" s="95">
        <v>64489.105100000001</v>
      </c>
      <c r="M116" s="95">
        <f t="shared" si="3"/>
        <v>370746.8763</v>
      </c>
      <c r="N116" s="95">
        <v>387.27269999999999</v>
      </c>
      <c r="O116" s="100">
        <v>0</v>
      </c>
      <c r="P116" s="96"/>
      <c r="Q116" s="95">
        <v>18479.897700000001</v>
      </c>
      <c r="R116" s="95">
        <f t="shared" si="4"/>
        <v>351879.70600000001</v>
      </c>
      <c r="S116" s="96"/>
      <c r="T116" s="100">
        <v>351879.70600000001</v>
      </c>
      <c r="U116" s="96"/>
      <c r="V116" s="96"/>
      <c r="W116" s="115"/>
      <c r="X116" s="96"/>
      <c r="Y116" s="9">
        <f>IFERROR(VLOOKUP(B116,'[1]2122 Veterans Count'!$J:$M,4,FALSE),0)</f>
        <v>9.7560975609756101E-2</v>
      </c>
      <c r="Z116" s="97">
        <f t="shared" si="5"/>
        <v>34329.727414634152</v>
      </c>
    </row>
    <row r="117" spans="1:26" x14ac:dyDescent="0.25">
      <c r="A117" s="118" t="s">
        <v>48</v>
      </c>
      <c r="B117" s="119">
        <v>4100209679.7472</v>
      </c>
      <c r="C117" s="118" t="s">
        <v>165</v>
      </c>
      <c r="D117" s="118" t="s">
        <v>50</v>
      </c>
      <c r="E117" s="118" t="s">
        <v>146</v>
      </c>
      <c r="F117" s="118" t="s">
        <v>103</v>
      </c>
      <c r="G117" s="120"/>
      <c r="H117" s="120"/>
      <c r="I117" s="120"/>
      <c r="J117" s="120"/>
      <c r="K117" s="121">
        <v>18165.061099999999</v>
      </c>
      <c r="L117" s="121">
        <v>3629.7514000000001</v>
      </c>
      <c r="M117" s="121">
        <f t="shared" si="3"/>
        <v>21794.8125</v>
      </c>
      <c r="N117" s="121">
        <v>0</v>
      </c>
      <c r="O117" s="123"/>
      <c r="P117" s="124"/>
      <c r="Q117" s="121">
        <v>71</v>
      </c>
      <c r="R117" s="121">
        <f t="shared" si="4"/>
        <v>21723.8125</v>
      </c>
      <c r="S117" s="124"/>
      <c r="T117" s="123"/>
      <c r="U117" s="124"/>
      <c r="V117" s="124"/>
      <c r="W117" s="122">
        <v>21723.8125</v>
      </c>
      <c r="X117" s="124"/>
      <c r="Y117" s="9">
        <f>IFERROR(VLOOKUP(B117,'[1]2122 Veterans Count'!$J:$M,4,FALSE),0)</f>
        <v>0</v>
      </c>
      <c r="Z117" s="97">
        <f t="shared" si="5"/>
        <v>0</v>
      </c>
    </row>
    <row r="118" spans="1:26" x14ac:dyDescent="0.25">
      <c r="A118" s="90" t="s">
        <v>48</v>
      </c>
      <c r="B118" s="91">
        <v>4100209799.7470002</v>
      </c>
      <c r="C118" s="90" t="s">
        <v>166</v>
      </c>
      <c r="D118" s="90" t="s">
        <v>50</v>
      </c>
      <c r="E118" s="90" t="s">
        <v>146</v>
      </c>
      <c r="F118" s="90" t="s">
        <v>103</v>
      </c>
      <c r="G118" s="93"/>
      <c r="H118" s="93"/>
      <c r="I118" s="93"/>
      <c r="J118" s="93"/>
      <c r="K118" s="95">
        <v>231648.5674</v>
      </c>
      <c r="L118" s="95">
        <v>46574.2575</v>
      </c>
      <c r="M118" s="95">
        <f t="shared" si="3"/>
        <v>278222.82490000001</v>
      </c>
      <c r="N118" s="95">
        <v>62827.410499999998</v>
      </c>
      <c r="O118" s="95">
        <v>0</v>
      </c>
      <c r="P118" s="96"/>
      <c r="Q118" s="95">
        <v>8893.6286999999993</v>
      </c>
      <c r="R118" s="95">
        <f t="shared" si="4"/>
        <v>206501.78570000001</v>
      </c>
      <c r="S118" s="96"/>
      <c r="T118" s="95">
        <v>206501.78570000001</v>
      </c>
      <c r="U118" s="96"/>
      <c r="V118" s="96"/>
      <c r="W118" s="96"/>
      <c r="X118" s="96"/>
      <c r="Y118" s="9">
        <f>IFERROR(VLOOKUP(B118,'[1]2122 Veterans Count'!$J:$M,4,FALSE),0)</f>
        <v>0</v>
      </c>
      <c r="Z118" s="97">
        <f t="shared" si="5"/>
        <v>0</v>
      </c>
    </row>
    <row r="119" spans="1:26" x14ac:dyDescent="0.25">
      <c r="A119" s="90" t="s">
        <v>48</v>
      </c>
      <c r="B119" s="91">
        <v>4100209991.7470002</v>
      </c>
      <c r="C119" s="90" t="s">
        <v>167</v>
      </c>
      <c r="D119" s="90" t="s">
        <v>50</v>
      </c>
      <c r="E119" s="90" t="s">
        <v>146</v>
      </c>
      <c r="F119" s="90" t="s">
        <v>103</v>
      </c>
      <c r="G119" s="93"/>
      <c r="H119" s="93"/>
      <c r="I119" s="93"/>
      <c r="J119" s="93"/>
      <c r="K119" s="95">
        <v>12658.884700000001</v>
      </c>
      <c r="L119" s="100">
        <v>1542.1249</v>
      </c>
      <c r="M119" s="95">
        <f t="shared" si="3"/>
        <v>14201.009600000001</v>
      </c>
      <c r="N119" s="95">
        <v>1279.8586</v>
      </c>
      <c r="O119" s="95">
        <v>0</v>
      </c>
      <c r="P119" s="96"/>
      <c r="Q119" s="95">
        <v>76.223600000000005</v>
      </c>
      <c r="R119" s="95">
        <f t="shared" si="4"/>
        <v>12844.9274</v>
      </c>
      <c r="S119" s="96"/>
      <c r="T119" s="95">
        <v>12844.9274</v>
      </c>
      <c r="U119" s="96"/>
      <c r="V119" s="96"/>
      <c r="W119" s="96"/>
      <c r="X119" s="96"/>
      <c r="Y119" s="9">
        <f>IFERROR(VLOOKUP(B119,'[1]2122 Veterans Count'!$J:$M,4,FALSE),0)</f>
        <v>0</v>
      </c>
      <c r="Z119" s="97">
        <f t="shared" si="5"/>
        <v>0</v>
      </c>
    </row>
    <row r="120" spans="1:26" x14ac:dyDescent="0.25">
      <c r="A120" s="90" t="s">
        <v>48</v>
      </c>
      <c r="B120" s="91">
        <v>4100226963.8354998</v>
      </c>
      <c r="C120" s="90" t="s">
        <v>168</v>
      </c>
      <c r="D120" s="99" t="s">
        <v>50</v>
      </c>
      <c r="E120" s="99" t="s">
        <v>146</v>
      </c>
      <c r="F120" s="90" t="s">
        <v>103</v>
      </c>
      <c r="G120" s="93"/>
      <c r="H120" s="93"/>
      <c r="I120" s="93"/>
      <c r="J120" s="93"/>
      <c r="K120" s="95">
        <v>90573.624200000006</v>
      </c>
      <c r="L120" s="95">
        <v>18482.9208</v>
      </c>
      <c r="M120" s="95">
        <f t="shared" si="3"/>
        <v>109056.54500000001</v>
      </c>
      <c r="N120" s="96"/>
      <c r="O120" s="96"/>
      <c r="P120" s="96"/>
      <c r="Q120" s="100">
        <v>8.2436000000000007</v>
      </c>
      <c r="R120" s="95">
        <f t="shared" si="4"/>
        <v>109048.3014</v>
      </c>
      <c r="S120" s="96"/>
      <c r="T120" s="95">
        <v>109048.3014</v>
      </c>
      <c r="U120" s="96"/>
      <c r="V120" s="96"/>
      <c r="W120" s="109"/>
      <c r="X120" s="96"/>
      <c r="Y120" s="9">
        <f>IFERROR(VLOOKUP(B120,'[1]2122 Veterans Count'!$J:$M,4,FALSE),0)</f>
        <v>0</v>
      </c>
      <c r="Z120" s="97">
        <f t="shared" si="5"/>
        <v>0</v>
      </c>
    </row>
    <row r="121" spans="1:26" x14ac:dyDescent="0.25">
      <c r="A121" s="135" t="s">
        <v>48</v>
      </c>
      <c r="B121" s="136">
        <v>4100226967.8379998</v>
      </c>
      <c r="C121" s="135" t="s">
        <v>169</v>
      </c>
      <c r="D121" s="135" t="s">
        <v>50</v>
      </c>
      <c r="E121" s="135" t="s">
        <v>146</v>
      </c>
      <c r="F121" s="135" t="s">
        <v>103</v>
      </c>
      <c r="G121" s="135"/>
      <c r="H121" s="135"/>
      <c r="I121" s="135"/>
      <c r="J121" s="135"/>
      <c r="K121" s="137">
        <v>600708.63410000002</v>
      </c>
      <c r="L121" s="138">
        <v>135413.73639999999</v>
      </c>
      <c r="M121" s="137">
        <v>736122.37049999996</v>
      </c>
      <c r="N121" s="137">
        <v>382438.38</v>
      </c>
      <c r="O121" s="138">
        <v>0</v>
      </c>
      <c r="P121" s="139"/>
      <c r="Q121" s="138">
        <v>5.0000000000000001E-4</v>
      </c>
      <c r="R121" s="138">
        <f t="shared" si="4"/>
        <v>353683.99</v>
      </c>
      <c r="S121" s="140"/>
      <c r="T121" s="138">
        <v>353683.99</v>
      </c>
      <c r="U121" s="141"/>
      <c r="V121" s="141"/>
      <c r="W121" s="141"/>
      <c r="X121" s="141"/>
      <c r="Y121" s="9">
        <f>IFERROR(VLOOKUP(B121,'[1]2122 Veterans Count'!$J:$M,4,FALSE),0)</f>
        <v>0</v>
      </c>
      <c r="Z121" s="97">
        <f t="shared" si="5"/>
        <v>0</v>
      </c>
    </row>
    <row r="122" spans="1:26" x14ac:dyDescent="0.25">
      <c r="A122" s="90" t="s">
        <v>48</v>
      </c>
      <c r="B122" s="91">
        <v>4100202277.7473998</v>
      </c>
      <c r="C122" s="90" t="s">
        <v>170</v>
      </c>
      <c r="D122" s="90" t="s">
        <v>50</v>
      </c>
      <c r="E122" s="90" t="s">
        <v>146</v>
      </c>
      <c r="F122" s="90" t="s">
        <v>171</v>
      </c>
      <c r="G122" s="93"/>
      <c r="H122" s="93"/>
      <c r="I122" s="93"/>
      <c r="J122" s="93"/>
      <c r="K122" s="95">
        <v>545907.67000000004</v>
      </c>
      <c r="L122" s="109"/>
      <c r="M122" s="95">
        <f t="shared" ref="M122:M185" si="6">+K122+L122</f>
        <v>545907.67000000004</v>
      </c>
      <c r="N122" s="95">
        <v>308437.46539999999</v>
      </c>
      <c r="O122" s="95">
        <v>0</v>
      </c>
      <c r="P122" s="96"/>
      <c r="Q122" s="95">
        <v>228917.12409999999</v>
      </c>
      <c r="R122" s="95">
        <f t="shared" si="4"/>
        <v>8553.0805</v>
      </c>
      <c r="S122" s="96"/>
      <c r="T122" s="95">
        <v>8553.0805</v>
      </c>
      <c r="U122" s="96"/>
      <c r="V122" s="96"/>
      <c r="W122" s="96"/>
      <c r="X122" s="96"/>
      <c r="Y122" s="9">
        <f>IFERROR(VLOOKUP(B122,'[1]2122 Veterans Count'!$J:$M,4,FALSE),0)</f>
        <v>0</v>
      </c>
      <c r="Z122" s="97">
        <f t="shared" si="5"/>
        <v>0</v>
      </c>
    </row>
    <row r="123" spans="1:26" x14ac:dyDescent="0.25">
      <c r="A123" s="90" t="s">
        <v>48</v>
      </c>
      <c r="B123" s="91">
        <v>4100202604.7473998</v>
      </c>
      <c r="C123" s="90" t="s">
        <v>172</v>
      </c>
      <c r="D123" s="90" t="s">
        <v>50</v>
      </c>
      <c r="E123" s="90" t="s">
        <v>146</v>
      </c>
      <c r="F123" s="90" t="s">
        <v>171</v>
      </c>
      <c r="G123" s="93"/>
      <c r="H123" s="93"/>
      <c r="I123" s="93"/>
      <c r="J123" s="93"/>
      <c r="K123" s="95">
        <v>2624638.4300000002</v>
      </c>
      <c r="L123" s="100">
        <v>761912.17350000003</v>
      </c>
      <c r="M123" s="95">
        <f t="shared" si="6"/>
        <v>3386550.6035000002</v>
      </c>
      <c r="N123" s="95">
        <v>1714819.3866000001</v>
      </c>
      <c r="O123" s="95">
        <v>0</v>
      </c>
      <c r="P123" s="96"/>
      <c r="Q123" s="95">
        <v>1378220.1902999999</v>
      </c>
      <c r="R123" s="95">
        <f t="shared" si="4"/>
        <v>293511.02659999998</v>
      </c>
      <c r="S123" s="96"/>
      <c r="T123" s="95">
        <v>293511.02659999998</v>
      </c>
      <c r="U123" s="96"/>
      <c r="V123" s="96"/>
      <c r="W123" s="96"/>
      <c r="X123" s="96"/>
      <c r="Y123" s="9">
        <f>IFERROR(VLOOKUP(B123,'[1]2122 Veterans Count'!$J:$M,4,FALSE),0)</f>
        <v>0</v>
      </c>
      <c r="Z123" s="97">
        <f t="shared" si="5"/>
        <v>0</v>
      </c>
    </row>
    <row r="124" spans="1:26" x14ac:dyDescent="0.25">
      <c r="A124" s="90" t="s">
        <v>48</v>
      </c>
      <c r="B124" s="91">
        <v>4100202609.7473998</v>
      </c>
      <c r="C124" s="90" t="s">
        <v>173</v>
      </c>
      <c r="D124" s="90" t="s">
        <v>50</v>
      </c>
      <c r="E124" s="90" t="s">
        <v>146</v>
      </c>
      <c r="F124" s="90" t="s">
        <v>171</v>
      </c>
      <c r="G124" s="93"/>
      <c r="H124" s="93"/>
      <c r="I124" s="93"/>
      <c r="J124" s="93"/>
      <c r="K124" s="95">
        <v>240620.3884</v>
      </c>
      <c r="L124" s="100">
        <v>28210.095099999999</v>
      </c>
      <c r="M124" s="95">
        <f t="shared" si="6"/>
        <v>268830.48349999997</v>
      </c>
      <c r="N124" s="95">
        <v>142552.0184</v>
      </c>
      <c r="O124" s="95">
        <v>0</v>
      </c>
      <c r="P124" s="96"/>
      <c r="Q124" s="95">
        <v>80299.145300000004</v>
      </c>
      <c r="R124" s="95">
        <f t="shared" si="4"/>
        <v>45979.3197</v>
      </c>
      <c r="S124" s="96"/>
      <c r="T124" s="95">
        <v>45979.3197</v>
      </c>
      <c r="U124" s="96"/>
      <c r="V124" s="96"/>
      <c r="W124" s="96"/>
      <c r="X124" s="96"/>
      <c r="Y124" s="9">
        <f>IFERROR(VLOOKUP(B124,'[1]2122 Veterans Count'!$J:$M,4,FALSE),0)</f>
        <v>0</v>
      </c>
      <c r="Z124" s="97">
        <f t="shared" si="5"/>
        <v>0</v>
      </c>
    </row>
    <row r="125" spans="1:26" x14ac:dyDescent="0.25">
      <c r="A125" s="90" t="s">
        <v>48</v>
      </c>
      <c r="B125" s="91">
        <v>4100202610.7473998</v>
      </c>
      <c r="C125" s="90" t="s">
        <v>174</v>
      </c>
      <c r="D125" s="90" t="s">
        <v>50</v>
      </c>
      <c r="E125" s="90" t="s">
        <v>146</v>
      </c>
      <c r="F125" s="90" t="s">
        <v>171</v>
      </c>
      <c r="G125" s="93"/>
      <c r="H125" s="93"/>
      <c r="I125" s="93"/>
      <c r="J125" s="93"/>
      <c r="K125" s="95">
        <v>1135936.9343000001</v>
      </c>
      <c r="L125" s="95">
        <v>331461.85119999998</v>
      </c>
      <c r="M125" s="95">
        <f t="shared" si="6"/>
        <v>1467398.7855</v>
      </c>
      <c r="N125" s="95">
        <v>855917.08799999999</v>
      </c>
      <c r="O125" s="95">
        <v>0</v>
      </c>
      <c r="P125" s="96"/>
      <c r="Q125" s="95">
        <v>472388.41119999997</v>
      </c>
      <c r="R125" s="95">
        <f t="shared" si="4"/>
        <v>139093.28630000001</v>
      </c>
      <c r="S125" s="96"/>
      <c r="T125" s="95">
        <v>139093.28630000001</v>
      </c>
      <c r="U125" s="96"/>
      <c r="V125" s="96"/>
      <c r="W125" s="96"/>
      <c r="X125" s="96"/>
      <c r="Y125" s="9">
        <f>IFERROR(VLOOKUP(B125,'[1]2122 Veterans Count'!$J:$M,4,FALSE),0)</f>
        <v>0</v>
      </c>
      <c r="Z125" s="97">
        <f t="shared" si="5"/>
        <v>0</v>
      </c>
    </row>
    <row r="126" spans="1:26" x14ac:dyDescent="0.25">
      <c r="A126" s="90" t="s">
        <v>48</v>
      </c>
      <c r="B126" s="91">
        <v>4100203169.7473998</v>
      </c>
      <c r="C126" s="90" t="s">
        <v>175</v>
      </c>
      <c r="D126" s="90" t="s">
        <v>50</v>
      </c>
      <c r="E126" s="90" t="s">
        <v>146</v>
      </c>
      <c r="F126" s="90" t="s">
        <v>171</v>
      </c>
      <c r="G126" s="93"/>
      <c r="H126" s="93"/>
      <c r="I126" s="93"/>
      <c r="J126" s="93"/>
      <c r="K126" s="95">
        <v>9780941.2300000004</v>
      </c>
      <c r="L126" s="109"/>
      <c r="M126" s="95">
        <f t="shared" si="6"/>
        <v>9780941.2300000004</v>
      </c>
      <c r="N126" s="95">
        <v>5534206.5110999998</v>
      </c>
      <c r="O126" s="95">
        <v>0</v>
      </c>
      <c r="P126" s="96"/>
      <c r="Q126" s="95">
        <v>4221441.5937999999</v>
      </c>
      <c r="R126" s="95">
        <f t="shared" si="4"/>
        <v>25293.125199999999</v>
      </c>
      <c r="S126" s="96"/>
      <c r="T126" s="95">
        <v>25293.125199999999</v>
      </c>
      <c r="U126" s="96"/>
      <c r="V126" s="96"/>
      <c r="W126" s="96"/>
      <c r="X126" s="96"/>
      <c r="Y126" s="9">
        <f>IFERROR(VLOOKUP(B126,'[1]2122 Veterans Count'!$J:$M,4,FALSE),0)</f>
        <v>0</v>
      </c>
      <c r="Z126" s="97">
        <f t="shared" si="5"/>
        <v>0</v>
      </c>
    </row>
    <row r="127" spans="1:26" x14ac:dyDescent="0.25">
      <c r="A127" s="90" t="s">
        <v>48</v>
      </c>
      <c r="B127" s="91">
        <v>4100203503.7473998</v>
      </c>
      <c r="C127" s="90" t="s">
        <v>176</v>
      </c>
      <c r="D127" s="90" t="s">
        <v>50</v>
      </c>
      <c r="E127" s="90" t="s">
        <v>146</v>
      </c>
      <c r="F127" s="90" t="s">
        <v>171</v>
      </c>
      <c r="G127" s="93"/>
      <c r="H127" s="93"/>
      <c r="I127" s="93"/>
      <c r="J127" s="93"/>
      <c r="K127" s="95">
        <v>2109275.6831999999</v>
      </c>
      <c r="L127" s="100">
        <v>527456.53130000003</v>
      </c>
      <c r="M127" s="95">
        <f t="shared" si="6"/>
        <v>2636732.2144999998</v>
      </c>
      <c r="N127" s="95">
        <v>1428371.7039999999</v>
      </c>
      <c r="O127" s="95">
        <v>0</v>
      </c>
      <c r="P127" s="96"/>
      <c r="Q127" s="95">
        <v>510049.5356</v>
      </c>
      <c r="R127" s="95">
        <f t="shared" si="4"/>
        <v>698310.97490000003</v>
      </c>
      <c r="S127" s="96"/>
      <c r="T127" s="95">
        <v>698310.97490000003</v>
      </c>
      <c r="U127" s="96"/>
      <c r="V127" s="96"/>
      <c r="W127" s="96"/>
      <c r="X127" s="96"/>
      <c r="Y127" s="9">
        <f>IFERROR(VLOOKUP(B127,'[1]2122 Veterans Count'!$J:$M,4,FALSE),0)</f>
        <v>1.1627906976744186E-2</v>
      </c>
      <c r="Z127" s="97">
        <f t="shared" si="5"/>
        <v>8119.8950569767449</v>
      </c>
    </row>
    <row r="128" spans="1:26" x14ac:dyDescent="0.25">
      <c r="A128" s="90" t="s">
        <v>48</v>
      </c>
      <c r="B128" s="91">
        <v>4100203616.7473998</v>
      </c>
      <c r="C128" s="90" t="s">
        <v>177</v>
      </c>
      <c r="D128" s="90" t="s">
        <v>50</v>
      </c>
      <c r="E128" s="90" t="s">
        <v>146</v>
      </c>
      <c r="F128" s="90" t="s">
        <v>171</v>
      </c>
      <c r="G128" s="93"/>
      <c r="H128" s="93"/>
      <c r="I128" s="93"/>
      <c r="J128" s="93"/>
      <c r="K128" s="95">
        <v>1777889.3848000001</v>
      </c>
      <c r="L128" s="100">
        <v>508949.45179999998</v>
      </c>
      <c r="M128" s="95">
        <f t="shared" si="6"/>
        <v>2286838.8366</v>
      </c>
      <c r="N128" s="95">
        <v>1270658.8717</v>
      </c>
      <c r="O128" s="95">
        <v>0</v>
      </c>
      <c r="P128" s="96"/>
      <c r="Q128" s="95">
        <v>509829.10200000001</v>
      </c>
      <c r="R128" s="95">
        <f t="shared" si="4"/>
        <v>506350.86290000001</v>
      </c>
      <c r="S128" s="96"/>
      <c r="T128" s="95">
        <v>506350.86290000001</v>
      </c>
      <c r="U128" s="96"/>
      <c r="V128" s="96"/>
      <c r="W128" s="96"/>
      <c r="X128" s="96"/>
      <c r="Y128" s="9">
        <f>IFERROR(VLOOKUP(B128,'[1]2122 Veterans Count'!$J:$M,4,FALSE),0)</f>
        <v>0</v>
      </c>
      <c r="Z128" s="97">
        <f t="shared" si="5"/>
        <v>0</v>
      </c>
    </row>
    <row r="129" spans="1:26" x14ac:dyDescent="0.25">
      <c r="A129" s="90" t="s">
        <v>48</v>
      </c>
      <c r="B129" s="91">
        <v>4100203617.7473998</v>
      </c>
      <c r="C129" s="90" t="s">
        <v>178</v>
      </c>
      <c r="D129" s="90" t="s">
        <v>50</v>
      </c>
      <c r="E129" s="90" t="s">
        <v>146</v>
      </c>
      <c r="F129" s="90" t="s">
        <v>171</v>
      </c>
      <c r="G129" s="93"/>
      <c r="H129" s="93"/>
      <c r="I129" s="93"/>
      <c r="J129" s="93"/>
      <c r="K129" s="95">
        <v>1323371.0906</v>
      </c>
      <c r="L129" s="100">
        <v>353383.86499999999</v>
      </c>
      <c r="M129" s="95">
        <f t="shared" si="6"/>
        <v>1676754.9556</v>
      </c>
      <c r="N129" s="100">
        <v>877608.56689999998</v>
      </c>
      <c r="O129" s="100">
        <v>0</v>
      </c>
      <c r="P129" s="100">
        <v>276759.84519999998</v>
      </c>
      <c r="Q129" s="95">
        <v>285382.28879999998</v>
      </c>
      <c r="R129" s="95">
        <f t="shared" si="4"/>
        <v>237004.25450000001</v>
      </c>
      <c r="S129" s="96"/>
      <c r="T129" s="95">
        <v>237004.25450000001</v>
      </c>
      <c r="U129" s="96"/>
      <c r="V129" s="96"/>
      <c r="W129" s="96"/>
      <c r="X129" s="96"/>
      <c r="Y129" s="9">
        <f>IFERROR(VLOOKUP(B129,'[1]2122 Veterans Count'!$J:$M,4,FALSE),0)</f>
        <v>0</v>
      </c>
      <c r="Z129" s="97">
        <f t="shared" si="5"/>
        <v>0</v>
      </c>
    </row>
    <row r="130" spans="1:26" x14ac:dyDescent="0.25">
      <c r="A130" s="90" t="s">
        <v>48</v>
      </c>
      <c r="B130" s="91">
        <v>4100203972.7473998</v>
      </c>
      <c r="C130" s="90" t="s">
        <v>179</v>
      </c>
      <c r="D130" s="90" t="s">
        <v>50</v>
      </c>
      <c r="E130" s="90" t="s">
        <v>146</v>
      </c>
      <c r="F130" s="90" t="s">
        <v>171</v>
      </c>
      <c r="G130" s="93"/>
      <c r="H130" s="93"/>
      <c r="I130" s="93"/>
      <c r="J130" s="93"/>
      <c r="K130" s="95">
        <v>1064259.1705</v>
      </c>
      <c r="L130" s="100">
        <v>277912.41700000002</v>
      </c>
      <c r="M130" s="95">
        <f t="shared" si="6"/>
        <v>1342171.5874999999</v>
      </c>
      <c r="N130" s="95">
        <v>559132.67799999996</v>
      </c>
      <c r="O130" s="95">
        <v>0</v>
      </c>
      <c r="P130" s="96"/>
      <c r="Q130" s="95">
        <v>680236.01100000006</v>
      </c>
      <c r="R130" s="95">
        <f t="shared" si="4"/>
        <v>102802.8985</v>
      </c>
      <c r="S130" s="96"/>
      <c r="T130" s="95">
        <v>102802.8985</v>
      </c>
      <c r="U130" s="96"/>
      <c r="V130" s="96"/>
      <c r="W130" s="109"/>
      <c r="X130" s="96"/>
      <c r="Y130" s="9">
        <f>IFERROR(VLOOKUP(B130,'[1]2122 Veterans Count'!$J:$M,4,FALSE),0)</f>
        <v>0</v>
      </c>
      <c r="Z130" s="97">
        <f t="shared" si="5"/>
        <v>0</v>
      </c>
    </row>
    <row r="131" spans="1:26" x14ac:dyDescent="0.25">
      <c r="A131" s="90" t="s">
        <v>48</v>
      </c>
      <c r="B131" s="91">
        <v>4100205015.7473998</v>
      </c>
      <c r="C131" s="90" t="s">
        <v>180</v>
      </c>
      <c r="D131" s="90" t="s">
        <v>50</v>
      </c>
      <c r="E131" s="90" t="s">
        <v>146</v>
      </c>
      <c r="F131" s="90" t="s">
        <v>171</v>
      </c>
      <c r="G131" s="93"/>
      <c r="H131" s="93"/>
      <c r="I131" s="93"/>
      <c r="J131" s="93"/>
      <c r="K131" s="95">
        <v>1066355.1499999999</v>
      </c>
      <c r="L131" s="96"/>
      <c r="M131" s="95">
        <f t="shared" si="6"/>
        <v>1066355.1499999999</v>
      </c>
      <c r="N131" s="95">
        <v>603690.33499999996</v>
      </c>
      <c r="O131" s="95">
        <v>0</v>
      </c>
      <c r="P131" s="96"/>
      <c r="Q131" s="95">
        <v>435673.02189999999</v>
      </c>
      <c r="R131" s="95">
        <f t="shared" si="4"/>
        <v>26991.793099999999</v>
      </c>
      <c r="S131" s="96"/>
      <c r="T131" s="95">
        <v>26991.793099999999</v>
      </c>
      <c r="U131" s="96"/>
      <c r="V131" s="96"/>
      <c r="W131" s="96"/>
      <c r="X131" s="96"/>
      <c r="Y131" s="9">
        <f>IFERROR(VLOOKUP(B131,'[1]2122 Veterans Count'!$J:$M,4,FALSE),0)</f>
        <v>0</v>
      </c>
      <c r="Z131" s="97">
        <f t="shared" si="5"/>
        <v>0</v>
      </c>
    </row>
    <row r="132" spans="1:26" x14ac:dyDescent="0.25">
      <c r="A132" s="90" t="s">
        <v>48</v>
      </c>
      <c r="B132" s="91">
        <v>4100205209.7473998</v>
      </c>
      <c r="C132" s="90" t="s">
        <v>181</v>
      </c>
      <c r="D132" s="90" t="s">
        <v>50</v>
      </c>
      <c r="E132" s="90" t="s">
        <v>146</v>
      </c>
      <c r="F132" s="90" t="s">
        <v>171</v>
      </c>
      <c r="G132" s="93"/>
      <c r="H132" s="93"/>
      <c r="I132" s="93"/>
      <c r="J132" s="93"/>
      <c r="K132" s="95">
        <v>4264465.0199999996</v>
      </c>
      <c r="L132" s="109"/>
      <c r="M132" s="95">
        <f t="shared" si="6"/>
        <v>4264465.0199999996</v>
      </c>
      <c r="N132" s="95">
        <v>2378743.2124000001</v>
      </c>
      <c r="O132" s="95">
        <v>0</v>
      </c>
      <c r="P132" s="96"/>
      <c r="Q132" s="95">
        <v>1736846.0193</v>
      </c>
      <c r="R132" s="95">
        <f t="shared" si="4"/>
        <v>148875.78829999999</v>
      </c>
      <c r="S132" s="96"/>
      <c r="T132" s="95">
        <v>148875.78829999999</v>
      </c>
      <c r="U132" s="96"/>
      <c r="V132" s="96"/>
      <c r="W132" s="96"/>
      <c r="X132" s="96"/>
      <c r="Y132" s="9">
        <f>IFERROR(VLOOKUP(B132,'[1]2122 Veterans Count'!$J:$M,4,FALSE),0)</f>
        <v>0</v>
      </c>
      <c r="Z132" s="97">
        <f t="shared" si="5"/>
        <v>0</v>
      </c>
    </row>
    <row r="133" spans="1:26" x14ac:dyDescent="0.25">
      <c r="A133" s="90" t="s">
        <v>48</v>
      </c>
      <c r="B133" s="91">
        <v>4100205571.7473998</v>
      </c>
      <c r="C133" s="90" t="s">
        <v>182</v>
      </c>
      <c r="D133" s="90" t="s">
        <v>50</v>
      </c>
      <c r="E133" s="90" t="s">
        <v>146</v>
      </c>
      <c r="F133" s="90" t="s">
        <v>171</v>
      </c>
      <c r="G133" s="93"/>
      <c r="H133" s="93"/>
      <c r="I133" s="93"/>
      <c r="J133" s="93"/>
      <c r="K133" s="95">
        <v>1155859.077</v>
      </c>
      <c r="L133" s="100">
        <v>356930.26400000002</v>
      </c>
      <c r="M133" s="95">
        <f t="shared" si="6"/>
        <v>1512789.341</v>
      </c>
      <c r="N133" s="95">
        <v>610760.59230000002</v>
      </c>
      <c r="O133" s="100">
        <v>0</v>
      </c>
      <c r="P133" s="96"/>
      <c r="Q133" s="95">
        <v>383526.39899999998</v>
      </c>
      <c r="R133" s="95">
        <f t="shared" si="4"/>
        <v>518502.34980000003</v>
      </c>
      <c r="S133" s="96"/>
      <c r="T133" s="95">
        <v>518502.34980000003</v>
      </c>
      <c r="U133" s="96"/>
      <c r="V133" s="96"/>
      <c r="W133" s="96"/>
      <c r="X133" s="96"/>
      <c r="Y133" s="9">
        <f>IFERROR(VLOOKUP(B133,'[1]2122 Veterans Count'!$J:$M,4,FALSE),0)</f>
        <v>0</v>
      </c>
      <c r="Z133" s="97">
        <f t="shared" si="5"/>
        <v>0</v>
      </c>
    </row>
    <row r="134" spans="1:26" x14ac:dyDescent="0.25">
      <c r="A134" s="101" t="s">
        <v>48</v>
      </c>
      <c r="B134" s="102">
        <v>4100205628.7473998</v>
      </c>
      <c r="C134" s="101" t="s">
        <v>183</v>
      </c>
      <c r="D134" s="101" t="s">
        <v>50</v>
      </c>
      <c r="E134" s="101" t="s">
        <v>146</v>
      </c>
      <c r="F134" s="101" t="s">
        <v>171</v>
      </c>
      <c r="G134" s="103"/>
      <c r="H134" s="103"/>
      <c r="I134" s="103"/>
      <c r="J134" s="103"/>
      <c r="K134" s="104">
        <f>1289531.9265-1289531.9265</f>
        <v>0</v>
      </c>
      <c r="L134" s="108">
        <f>-1289531.9263+1289531.9263</f>
        <v>0</v>
      </c>
      <c r="M134" s="104">
        <f t="shared" si="6"/>
        <v>0</v>
      </c>
      <c r="N134" s="107"/>
      <c r="O134" s="107"/>
      <c r="P134" s="105"/>
      <c r="Q134" s="107"/>
      <c r="R134" s="104">
        <f t="shared" si="4"/>
        <v>2.0000000000000001E-4</v>
      </c>
      <c r="S134" s="105"/>
      <c r="T134" s="104">
        <v>2.0000000000000001E-4</v>
      </c>
      <c r="U134" s="105"/>
      <c r="V134" s="105"/>
      <c r="W134" s="105"/>
      <c r="X134" s="105"/>
      <c r="Y134" s="9">
        <f>IFERROR(VLOOKUP(B134,'[1]2122 Veterans Count'!$J:$M,4,FALSE),0)</f>
        <v>0</v>
      </c>
      <c r="Z134" s="97">
        <f t="shared" si="5"/>
        <v>0</v>
      </c>
    </row>
    <row r="135" spans="1:26" x14ac:dyDescent="0.25">
      <c r="A135" s="90" t="s">
        <v>48</v>
      </c>
      <c r="B135" s="91">
        <v>4100205629.7473998</v>
      </c>
      <c r="C135" s="90" t="s">
        <v>184</v>
      </c>
      <c r="D135" s="90" t="s">
        <v>50</v>
      </c>
      <c r="E135" s="90" t="s">
        <v>146</v>
      </c>
      <c r="F135" s="90" t="s">
        <v>171</v>
      </c>
      <c r="G135" s="93"/>
      <c r="H135" s="93"/>
      <c r="I135" s="93"/>
      <c r="J135" s="93"/>
      <c r="K135" s="95">
        <v>2486342.6105999998</v>
      </c>
      <c r="L135" s="100">
        <v>828346.88970000006</v>
      </c>
      <c r="M135" s="95">
        <f t="shared" si="6"/>
        <v>3314689.5003</v>
      </c>
      <c r="N135" s="95">
        <v>1690025.5958</v>
      </c>
      <c r="O135" s="95">
        <v>0</v>
      </c>
      <c r="P135" s="96"/>
      <c r="Q135" s="95">
        <v>1247674.8976</v>
      </c>
      <c r="R135" s="95">
        <f t="shared" si="4"/>
        <v>376989.00689999998</v>
      </c>
      <c r="S135" s="96"/>
      <c r="T135" s="95">
        <v>376989.00689999998</v>
      </c>
      <c r="U135" s="96"/>
      <c r="V135" s="96"/>
      <c r="W135" s="96"/>
      <c r="X135" s="96"/>
      <c r="Y135" s="9">
        <f>IFERROR(VLOOKUP(B135,'[1]2122 Veterans Count'!$J:$M,4,FALSE),0)</f>
        <v>0</v>
      </c>
      <c r="Z135" s="97">
        <f t="shared" si="5"/>
        <v>0</v>
      </c>
    </row>
    <row r="136" spans="1:26" x14ac:dyDescent="0.25">
      <c r="A136" s="90" t="s">
        <v>48</v>
      </c>
      <c r="B136" s="91">
        <v>4100205630.7473998</v>
      </c>
      <c r="C136" s="90" t="s">
        <v>185</v>
      </c>
      <c r="D136" s="90" t="s">
        <v>50</v>
      </c>
      <c r="E136" s="90" t="s">
        <v>146</v>
      </c>
      <c r="F136" s="90" t="s">
        <v>171</v>
      </c>
      <c r="G136" s="93"/>
      <c r="H136" s="93"/>
      <c r="I136" s="93"/>
      <c r="J136" s="93"/>
      <c r="K136" s="95">
        <v>1303390.2620000001</v>
      </c>
      <c r="L136" s="95">
        <v>404125.50229999999</v>
      </c>
      <c r="M136" s="95">
        <f t="shared" si="6"/>
        <v>1707515.7643000002</v>
      </c>
      <c r="N136" s="95">
        <v>575975.86329999997</v>
      </c>
      <c r="O136" s="95">
        <v>0</v>
      </c>
      <c r="P136" s="96"/>
      <c r="Q136" s="95">
        <v>351901.54470000003</v>
      </c>
      <c r="R136" s="95">
        <f t="shared" si="4"/>
        <v>779638.35649999999</v>
      </c>
      <c r="S136" s="96"/>
      <c r="T136" s="95">
        <v>779638.35649999999</v>
      </c>
      <c r="U136" s="96"/>
      <c r="V136" s="96"/>
      <c r="W136" s="96"/>
      <c r="X136" s="96"/>
      <c r="Y136" s="9">
        <f>IFERROR(VLOOKUP(B136,'[1]2122 Veterans Count'!$J:$M,4,FALSE),0)</f>
        <v>0</v>
      </c>
      <c r="Z136" s="97">
        <f t="shared" si="5"/>
        <v>0</v>
      </c>
    </row>
    <row r="137" spans="1:26" x14ac:dyDescent="0.25">
      <c r="A137" s="90" t="s">
        <v>48</v>
      </c>
      <c r="B137" s="91">
        <v>4100205632.7473998</v>
      </c>
      <c r="C137" s="90" t="s">
        <v>186</v>
      </c>
      <c r="D137" s="90" t="s">
        <v>50</v>
      </c>
      <c r="E137" s="90" t="s">
        <v>146</v>
      </c>
      <c r="F137" s="90" t="s">
        <v>171</v>
      </c>
      <c r="G137" s="93"/>
      <c r="H137" s="93"/>
      <c r="I137" s="93"/>
      <c r="J137" s="93"/>
      <c r="K137" s="95">
        <v>2144922.5835000002</v>
      </c>
      <c r="L137" s="95">
        <v>710889.86499999999</v>
      </c>
      <c r="M137" s="95">
        <f t="shared" si="6"/>
        <v>2855812.4484999999</v>
      </c>
      <c r="N137" s="95">
        <v>1398168.8853</v>
      </c>
      <c r="O137" s="95">
        <v>0</v>
      </c>
      <c r="P137" s="96"/>
      <c r="Q137" s="95">
        <v>612965.94400000002</v>
      </c>
      <c r="R137" s="95">
        <f t="shared" si="4"/>
        <v>844677.61939999997</v>
      </c>
      <c r="S137" s="96"/>
      <c r="T137" s="95">
        <v>844677.61939999997</v>
      </c>
      <c r="U137" s="96"/>
      <c r="V137" s="96"/>
      <c r="W137" s="96"/>
      <c r="X137" s="96"/>
      <c r="Y137" s="9">
        <f>IFERROR(VLOOKUP(B137,'[1]2122 Veterans Count'!$J:$M,4,FALSE),0)</f>
        <v>0</v>
      </c>
      <c r="Z137" s="97">
        <f t="shared" si="5"/>
        <v>0</v>
      </c>
    </row>
    <row r="138" spans="1:26" x14ac:dyDescent="0.25">
      <c r="A138" s="90" t="s">
        <v>48</v>
      </c>
      <c r="B138" s="91">
        <v>4100207085.7473998</v>
      </c>
      <c r="C138" s="90" t="s">
        <v>187</v>
      </c>
      <c r="D138" s="90" t="s">
        <v>50</v>
      </c>
      <c r="E138" s="90" t="s">
        <v>146</v>
      </c>
      <c r="F138" s="90" t="s">
        <v>171</v>
      </c>
      <c r="G138" s="93"/>
      <c r="H138" s="93"/>
      <c r="I138" s="93"/>
      <c r="J138" s="93"/>
      <c r="K138" s="95">
        <v>748793.00219999999</v>
      </c>
      <c r="L138" s="115"/>
      <c r="M138" s="95">
        <f t="shared" si="6"/>
        <v>748793.00219999999</v>
      </c>
      <c r="N138" s="95">
        <v>243315.53020000001</v>
      </c>
      <c r="O138" s="95">
        <v>0</v>
      </c>
      <c r="P138" s="96"/>
      <c r="Q138" s="95">
        <v>485601.54200000002</v>
      </c>
      <c r="R138" s="95">
        <f t="shared" si="4"/>
        <v>19875.93</v>
      </c>
      <c r="S138" s="96"/>
      <c r="T138" s="95">
        <v>19875.93</v>
      </c>
      <c r="U138" s="96"/>
      <c r="V138" s="96"/>
      <c r="W138" s="96"/>
      <c r="X138" s="96"/>
      <c r="Y138" s="9">
        <f>IFERROR(VLOOKUP(B138,'[1]2122 Veterans Count'!$J:$M,4,FALSE),0)</f>
        <v>0</v>
      </c>
      <c r="Z138" s="97">
        <f t="shared" si="5"/>
        <v>0</v>
      </c>
    </row>
    <row r="139" spans="1:26" x14ac:dyDescent="0.25">
      <c r="A139" s="110" t="s">
        <v>48</v>
      </c>
      <c r="B139" s="111">
        <v>4100207096.7473998</v>
      </c>
      <c r="C139" s="110" t="s">
        <v>188</v>
      </c>
      <c r="D139" s="110" t="s">
        <v>50</v>
      </c>
      <c r="E139" s="110" t="s">
        <v>146</v>
      </c>
      <c r="F139" s="110" t="s">
        <v>171</v>
      </c>
      <c r="G139" s="112"/>
      <c r="H139" s="112"/>
      <c r="I139" s="112"/>
      <c r="J139" s="112"/>
      <c r="K139" s="113">
        <v>969889.83</v>
      </c>
      <c r="L139" s="114"/>
      <c r="M139" s="113">
        <f t="shared" si="6"/>
        <v>969889.83</v>
      </c>
      <c r="N139" s="113">
        <v>542829.77240000002</v>
      </c>
      <c r="O139" s="113">
        <v>0</v>
      </c>
      <c r="P139" s="114"/>
      <c r="Q139" s="113">
        <v>427060.05780000001</v>
      </c>
      <c r="R139" s="113">
        <f t="shared" si="4"/>
        <v>-2.0000000000000001E-4</v>
      </c>
      <c r="S139" s="114"/>
      <c r="T139" s="113">
        <v>-2.0000000000000001E-4</v>
      </c>
      <c r="U139" s="114"/>
      <c r="V139" s="114"/>
      <c r="W139" s="114"/>
      <c r="X139" s="114"/>
      <c r="Y139" s="9">
        <f>IFERROR(VLOOKUP(B139,'[1]2122 Veterans Count'!$J:$M,4,FALSE),0)</f>
        <v>0</v>
      </c>
      <c r="Z139" s="97">
        <f t="shared" si="5"/>
        <v>0</v>
      </c>
    </row>
    <row r="140" spans="1:26" x14ac:dyDescent="0.25">
      <c r="A140" s="90" t="s">
        <v>48</v>
      </c>
      <c r="B140" s="91">
        <v>4100207156.7473998</v>
      </c>
      <c r="C140" s="90" t="s">
        <v>189</v>
      </c>
      <c r="D140" s="90" t="s">
        <v>50</v>
      </c>
      <c r="E140" s="90" t="s">
        <v>146</v>
      </c>
      <c r="F140" s="90" t="s">
        <v>171</v>
      </c>
      <c r="G140" s="93"/>
      <c r="H140" s="93"/>
      <c r="I140" s="93"/>
      <c r="J140" s="93"/>
      <c r="K140" s="95">
        <v>1732850.61</v>
      </c>
      <c r="L140" s="115"/>
      <c r="M140" s="95">
        <f t="shared" si="6"/>
        <v>1732850.61</v>
      </c>
      <c r="N140" s="95">
        <v>950000.87829999998</v>
      </c>
      <c r="O140" s="95">
        <v>0</v>
      </c>
      <c r="P140" s="96"/>
      <c r="Q140" s="95">
        <v>782843.75529999996</v>
      </c>
      <c r="R140" s="95">
        <f t="shared" si="4"/>
        <v>5.9763999999999999</v>
      </c>
      <c r="S140" s="96"/>
      <c r="T140" s="95">
        <v>5.9763999999999999</v>
      </c>
      <c r="U140" s="96"/>
      <c r="V140" s="96"/>
      <c r="W140" s="96"/>
      <c r="X140" s="96"/>
      <c r="Y140" s="9">
        <f>IFERROR(VLOOKUP(B140,'[1]2122 Veterans Count'!$J:$M,4,FALSE),0)</f>
        <v>0</v>
      </c>
      <c r="Z140" s="97">
        <f t="shared" si="5"/>
        <v>0</v>
      </c>
    </row>
    <row r="141" spans="1:26" x14ac:dyDescent="0.25">
      <c r="A141" s="90" t="s">
        <v>48</v>
      </c>
      <c r="B141" s="91">
        <v>4100207213.7473998</v>
      </c>
      <c r="C141" s="90" t="s">
        <v>190</v>
      </c>
      <c r="D141" s="90" t="s">
        <v>50</v>
      </c>
      <c r="E141" s="90" t="s">
        <v>146</v>
      </c>
      <c r="F141" s="90" t="s">
        <v>171</v>
      </c>
      <c r="G141" s="93"/>
      <c r="H141" s="93"/>
      <c r="I141" s="93"/>
      <c r="J141" s="93"/>
      <c r="K141" s="95">
        <v>163909.04999999999</v>
      </c>
      <c r="L141" s="96"/>
      <c r="M141" s="95">
        <f t="shared" si="6"/>
        <v>163909.04999999999</v>
      </c>
      <c r="N141" s="115"/>
      <c r="O141" s="115"/>
      <c r="P141" s="96"/>
      <c r="Q141" s="95">
        <v>0</v>
      </c>
      <c r="R141" s="95">
        <f t="shared" si="4"/>
        <v>163909.04999999999</v>
      </c>
      <c r="S141" s="96"/>
      <c r="T141" s="95">
        <v>163909.04999999999</v>
      </c>
      <c r="U141" s="96"/>
      <c r="V141" s="96"/>
      <c r="W141" s="96"/>
      <c r="X141" s="96"/>
      <c r="Y141" s="9">
        <f>IFERROR(VLOOKUP(B141,'[1]2122 Veterans Count'!$J:$M,4,FALSE),0)</f>
        <v>0</v>
      </c>
      <c r="Z141" s="97">
        <f t="shared" si="5"/>
        <v>0</v>
      </c>
    </row>
    <row r="142" spans="1:26" x14ac:dyDescent="0.25">
      <c r="A142" s="90" t="s">
        <v>48</v>
      </c>
      <c r="B142" s="91">
        <v>4100207238.7473998</v>
      </c>
      <c r="C142" s="90" t="s">
        <v>191</v>
      </c>
      <c r="D142" s="90" t="s">
        <v>50</v>
      </c>
      <c r="E142" s="90" t="s">
        <v>146</v>
      </c>
      <c r="F142" s="90" t="s">
        <v>171</v>
      </c>
      <c r="G142" s="93"/>
      <c r="H142" s="93"/>
      <c r="I142" s="93"/>
      <c r="J142" s="93"/>
      <c r="K142" s="95">
        <v>788865.35</v>
      </c>
      <c r="L142" s="115"/>
      <c r="M142" s="95">
        <f t="shared" si="6"/>
        <v>788865.35</v>
      </c>
      <c r="N142" s="95">
        <v>457550.88740000001</v>
      </c>
      <c r="O142" s="95">
        <v>0</v>
      </c>
      <c r="P142" s="96"/>
      <c r="Q142" s="95">
        <v>325946.55839999998</v>
      </c>
      <c r="R142" s="95">
        <f t="shared" si="4"/>
        <v>5367.9041999999999</v>
      </c>
      <c r="S142" s="96"/>
      <c r="T142" s="95">
        <v>5367.9041999999999</v>
      </c>
      <c r="U142" s="96"/>
      <c r="V142" s="96"/>
      <c r="W142" s="96"/>
      <c r="X142" s="96"/>
      <c r="Y142" s="9">
        <f>IFERROR(VLOOKUP(B142,'[1]2122 Veterans Count'!$J:$M,4,FALSE),0)</f>
        <v>0</v>
      </c>
      <c r="Z142" s="97">
        <f t="shared" si="5"/>
        <v>0</v>
      </c>
    </row>
    <row r="143" spans="1:26" x14ac:dyDescent="0.25">
      <c r="A143" s="90" t="s">
        <v>48</v>
      </c>
      <c r="B143" s="91">
        <v>4100207246.7473998</v>
      </c>
      <c r="C143" s="90" t="s">
        <v>192</v>
      </c>
      <c r="D143" s="90" t="s">
        <v>50</v>
      </c>
      <c r="E143" s="90" t="s">
        <v>146</v>
      </c>
      <c r="F143" s="90" t="s">
        <v>171</v>
      </c>
      <c r="G143" s="93"/>
      <c r="H143" s="93"/>
      <c r="I143" s="93"/>
      <c r="J143" s="93"/>
      <c r="K143" s="95">
        <v>1827879.31</v>
      </c>
      <c r="L143" s="115"/>
      <c r="M143" s="95">
        <f t="shared" si="6"/>
        <v>1827879.31</v>
      </c>
      <c r="N143" s="95">
        <v>1027164.8527</v>
      </c>
      <c r="O143" s="95">
        <v>0</v>
      </c>
      <c r="P143" s="96"/>
      <c r="Q143" s="95">
        <v>794942.80920000002</v>
      </c>
      <c r="R143" s="95">
        <f t="shared" si="4"/>
        <v>5771.6481999999996</v>
      </c>
      <c r="S143" s="96"/>
      <c r="T143" s="95">
        <v>5771.6481999999996</v>
      </c>
      <c r="U143" s="96"/>
      <c r="V143" s="96"/>
      <c r="W143" s="96"/>
      <c r="X143" s="96"/>
      <c r="Y143" s="9">
        <f>IFERROR(VLOOKUP(B143,'[1]2122 Veterans Count'!$J:$M,4,FALSE),0)</f>
        <v>0</v>
      </c>
      <c r="Z143" s="97">
        <f t="shared" si="5"/>
        <v>0</v>
      </c>
    </row>
    <row r="144" spans="1:26" x14ac:dyDescent="0.25">
      <c r="A144" s="90" t="s">
        <v>48</v>
      </c>
      <c r="B144" s="91">
        <v>4100207256.7473998</v>
      </c>
      <c r="C144" s="90" t="s">
        <v>193</v>
      </c>
      <c r="D144" s="90" t="s">
        <v>50</v>
      </c>
      <c r="E144" s="90" t="s">
        <v>146</v>
      </c>
      <c r="F144" s="90" t="s">
        <v>171</v>
      </c>
      <c r="G144" s="93"/>
      <c r="H144" s="93"/>
      <c r="I144" s="93"/>
      <c r="J144" s="93"/>
      <c r="K144" s="95">
        <v>296025.59000000003</v>
      </c>
      <c r="L144" s="115"/>
      <c r="M144" s="95">
        <f t="shared" si="6"/>
        <v>296025.59000000003</v>
      </c>
      <c r="N144" s="95">
        <v>146120.31030000001</v>
      </c>
      <c r="O144" s="95">
        <v>0</v>
      </c>
      <c r="P144" s="96"/>
      <c r="Q144" s="95">
        <v>148994.2377</v>
      </c>
      <c r="R144" s="95">
        <f t="shared" si="4"/>
        <v>911.04200000000003</v>
      </c>
      <c r="S144" s="96"/>
      <c r="T144" s="95">
        <v>911.04200000000003</v>
      </c>
      <c r="U144" s="96"/>
      <c r="V144" s="96"/>
      <c r="W144" s="96"/>
      <c r="X144" s="96"/>
      <c r="Y144" s="9">
        <f>IFERROR(VLOOKUP(B144,'[1]2122 Veterans Count'!$J:$M,4,FALSE),0)</f>
        <v>0</v>
      </c>
      <c r="Z144" s="97">
        <f t="shared" ref="Z144:Z207" si="7">+Y144*R144</f>
        <v>0</v>
      </c>
    </row>
    <row r="145" spans="1:26" x14ac:dyDescent="0.25">
      <c r="A145" s="90" t="s">
        <v>48</v>
      </c>
      <c r="B145" s="91">
        <v>4100207295.7473998</v>
      </c>
      <c r="C145" s="90" t="s">
        <v>194</v>
      </c>
      <c r="D145" s="90" t="s">
        <v>50</v>
      </c>
      <c r="E145" s="90" t="s">
        <v>146</v>
      </c>
      <c r="F145" s="90" t="s">
        <v>171</v>
      </c>
      <c r="G145" s="93"/>
      <c r="H145" s="93"/>
      <c r="I145" s="93"/>
      <c r="J145" s="93"/>
      <c r="K145" s="95">
        <v>49751.92</v>
      </c>
      <c r="L145" s="96"/>
      <c r="M145" s="95">
        <f t="shared" si="6"/>
        <v>49751.92</v>
      </c>
      <c r="N145" s="95">
        <v>0</v>
      </c>
      <c r="O145" s="115"/>
      <c r="P145" s="96"/>
      <c r="Q145" s="95">
        <v>0</v>
      </c>
      <c r="R145" s="95">
        <f t="shared" ref="R145:R208" si="8">SUM(S145:X145)</f>
        <v>49751.92</v>
      </c>
      <c r="S145" s="96"/>
      <c r="T145" s="95">
        <v>49751.92</v>
      </c>
      <c r="U145" s="96"/>
      <c r="V145" s="96"/>
      <c r="W145" s="96"/>
      <c r="X145" s="96"/>
      <c r="Y145" s="9">
        <f>IFERROR(VLOOKUP(B145,'[1]2122 Veterans Count'!$J:$M,4,FALSE),0)</f>
        <v>0</v>
      </c>
      <c r="Z145" s="97">
        <f t="shared" si="7"/>
        <v>0</v>
      </c>
    </row>
    <row r="146" spans="1:26" x14ac:dyDescent="0.25">
      <c r="A146" s="90" t="s">
        <v>48</v>
      </c>
      <c r="B146" s="91">
        <v>4100207296.7473998</v>
      </c>
      <c r="C146" s="90" t="s">
        <v>195</v>
      </c>
      <c r="D146" s="90" t="s">
        <v>50</v>
      </c>
      <c r="E146" s="90" t="s">
        <v>146</v>
      </c>
      <c r="F146" s="90" t="s">
        <v>171</v>
      </c>
      <c r="G146" s="93"/>
      <c r="H146" s="93"/>
      <c r="I146" s="93"/>
      <c r="J146" s="93"/>
      <c r="K146" s="95">
        <v>48730.01</v>
      </c>
      <c r="L146" s="109"/>
      <c r="M146" s="95">
        <f t="shared" si="6"/>
        <v>48730.01</v>
      </c>
      <c r="N146" s="95">
        <v>6781.6098000000002</v>
      </c>
      <c r="O146" s="95">
        <v>0</v>
      </c>
      <c r="P146" s="96"/>
      <c r="Q146" s="95">
        <v>2974.6288</v>
      </c>
      <c r="R146" s="95">
        <f t="shared" si="8"/>
        <v>38973.771399999998</v>
      </c>
      <c r="S146" s="96"/>
      <c r="T146" s="95">
        <v>38973.771399999998</v>
      </c>
      <c r="U146" s="96"/>
      <c r="V146" s="96"/>
      <c r="W146" s="96"/>
      <c r="X146" s="96"/>
      <c r="Y146" s="9">
        <f>IFERROR(VLOOKUP(B146,'[1]2122 Veterans Count'!$J:$M,4,FALSE),0)</f>
        <v>0</v>
      </c>
      <c r="Z146" s="97">
        <f t="shared" si="7"/>
        <v>0</v>
      </c>
    </row>
    <row r="147" spans="1:26" x14ac:dyDescent="0.25">
      <c r="A147" s="90" t="s">
        <v>48</v>
      </c>
      <c r="B147" s="91">
        <v>4100207299.7473998</v>
      </c>
      <c r="C147" s="90" t="s">
        <v>196</v>
      </c>
      <c r="D147" s="90" t="s">
        <v>50</v>
      </c>
      <c r="E147" s="90" t="s">
        <v>146</v>
      </c>
      <c r="F147" s="90" t="s">
        <v>171</v>
      </c>
      <c r="G147" s="93"/>
      <c r="H147" s="93"/>
      <c r="I147" s="93"/>
      <c r="J147" s="93"/>
      <c r="K147" s="95">
        <v>52736.9</v>
      </c>
      <c r="L147" s="115"/>
      <c r="M147" s="95">
        <f t="shared" si="6"/>
        <v>52736.9</v>
      </c>
      <c r="N147" s="100">
        <v>0</v>
      </c>
      <c r="O147" s="109"/>
      <c r="P147" s="96"/>
      <c r="Q147" s="100">
        <v>0</v>
      </c>
      <c r="R147" s="95">
        <f t="shared" si="8"/>
        <v>52736.9</v>
      </c>
      <c r="S147" s="96"/>
      <c r="T147" s="95">
        <v>52736.9</v>
      </c>
      <c r="U147" s="96"/>
      <c r="V147" s="96"/>
      <c r="W147" s="96"/>
      <c r="X147" s="96"/>
      <c r="Y147" s="9">
        <f>IFERROR(VLOOKUP(B147,'[1]2122 Veterans Count'!$J:$M,4,FALSE),0)</f>
        <v>0</v>
      </c>
      <c r="Z147" s="97">
        <f t="shared" si="7"/>
        <v>0</v>
      </c>
    </row>
    <row r="148" spans="1:26" x14ac:dyDescent="0.25">
      <c r="A148" s="90" t="s">
        <v>48</v>
      </c>
      <c r="B148" s="91">
        <v>4100207318.7473998</v>
      </c>
      <c r="C148" s="90" t="s">
        <v>197</v>
      </c>
      <c r="D148" s="90" t="s">
        <v>50</v>
      </c>
      <c r="E148" s="90" t="s">
        <v>146</v>
      </c>
      <c r="F148" s="90" t="s">
        <v>171</v>
      </c>
      <c r="G148" s="93"/>
      <c r="H148" s="93"/>
      <c r="I148" s="93"/>
      <c r="J148" s="93"/>
      <c r="K148" s="95">
        <v>78029.8</v>
      </c>
      <c r="L148" s="115"/>
      <c r="M148" s="95">
        <f t="shared" si="6"/>
        <v>78029.8</v>
      </c>
      <c r="N148" s="95">
        <v>43752.399100000002</v>
      </c>
      <c r="O148" s="95">
        <v>0</v>
      </c>
      <c r="P148" s="96"/>
      <c r="Q148" s="95">
        <v>32413.038499999999</v>
      </c>
      <c r="R148" s="95">
        <f t="shared" si="8"/>
        <v>1864.3624</v>
      </c>
      <c r="S148" s="96"/>
      <c r="T148" s="95">
        <v>1864.3624</v>
      </c>
      <c r="U148" s="96"/>
      <c r="V148" s="96"/>
      <c r="W148" s="96"/>
      <c r="X148" s="96"/>
      <c r="Y148" s="9">
        <f>IFERROR(VLOOKUP(B148,'[1]2122 Veterans Count'!$J:$M,4,FALSE),0)</f>
        <v>0</v>
      </c>
      <c r="Z148" s="97">
        <f t="shared" si="7"/>
        <v>0</v>
      </c>
    </row>
    <row r="149" spans="1:26" x14ac:dyDescent="0.25">
      <c r="A149" s="90" t="s">
        <v>48</v>
      </c>
      <c r="B149" s="91">
        <v>4100207333.7473998</v>
      </c>
      <c r="C149" s="90" t="s">
        <v>198</v>
      </c>
      <c r="D149" s="90" t="s">
        <v>50</v>
      </c>
      <c r="E149" s="90" t="s">
        <v>146</v>
      </c>
      <c r="F149" s="90" t="s">
        <v>171</v>
      </c>
      <c r="G149" s="93"/>
      <c r="H149" s="93"/>
      <c r="I149" s="93"/>
      <c r="J149" s="93"/>
      <c r="K149" s="95">
        <v>231781.82</v>
      </c>
      <c r="L149" s="115"/>
      <c r="M149" s="95">
        <f t="shared" si="6"/>
        <v>231781.82</v>
      </c>
      <c r="N149" s="95">
        <v>130033.501</v>
      </c>
      <c r="O149" s="95">
        <v>0</v>
      </c>
      <c r="P149" s="96"/>
      <c r="Q149" s="95">
        <v>100531.8221</v>
      </c>
      <c r="R149" s="95">
        <f t="shared" si="8"/>
        <v>1216.4969000000001</v>
      </c>
      <c r="S149" s="96"/>
      <c r="T149" s="95">
        <v>1216.4969000000001</v>
      </c>
      <c r="U149" s="96"/>
      <c r="V149" s="96"/>
      <c r="W149" s="96"/>
      <c r="X149" s="96"/>
      <c r="Y149" s="9">
        <f>IFERROR(VLOOKUP(B149,'[1]2122 Veterans Count'!$J:$M,4,FALSE),0)</f>
        <v>0</v>
      </c>
      <c r="Z149" s="97">
        <f t="shared" si="7"/>
        <v>0</v>
      </c>
    </row>
    <row r="150" spans="1:26" x14ac:dyDescent="0.25">
      <c r="A150" s="90" t="s">
        <v>48</v>
      </c>
      <c r="B150" s="91">
        <v>4100207351.7473998</v>
      </c>
      <c r="C150" s="90" t="s">
        <v>199</v>
      </c>
      <c r="D150" s="90" t="s">
        <v>50</v>
      </c>
      <c r="E150" s="90" t="s">
        <v>146</v>
      </c>
      <c r="F150" s="90" t="s">
        <v>171</v>
      </c>
      <c r="G150" s="93"/>
      <c r="H150" s="93"/>
      <c r="I150" s="93"/>
      <c r="J150" s="93"/>
      <c r="K150" s="95">
        <v>86093.25</v>
      </c>
      <c r="L150" s="115"/>
      <c r="M150" s="95">
        <f t="shared" si="6"/>
        <v>86093.25</v>
      </c>
      <c r="N150" s="95">
        <v>48384.388299999999</v>
      </c>
      <c r="O150" s="95">
        <v>0</v>
      </c>
      <c r="P150" s="115"/>
      <c r="Q150" s="95">
        <v>37407.469599999997</v>
      </c>
      <c r="R150" s="95">
        <f t="shared" si="8"/>
        <v>301.39210000000003</v>
      </c>
      <c r="S150" s="96"/>
      <c r="T150" s="95">
        <v>301.39210000000003</v>
      </c>
      <c r="U150" s="96"/>
      <c r="V150" s="96"/>
      <c r="W150" s="96"/>
      <c r="X150" s="96"/>
      <c r="Y150" s="9">
        <f>IFERROR(VLOOKUP(B150,'[1]2122 Veterans Count'!$J:$M,4,FALSE),0)</f>
        <v>0</v>
      </c>
      <c r="Z150" s="97">
        <f t="shared" si="7"/>
        <v>0</v>
      </c>
    </row>
    <row r="151" spans="1:26" x14ac:dyDescent="0.25">
      <c r="A151" s="90" t="s">
        <v>48</v>
      </c>
      <c r="B151" s="91">
        <v>4100207352.7473998</v>
      </c>
      <c r="C151" s="90" t="s">
        <v>200</v>
      </c>
      <c r="D151" s="90" t="s">
        <v>50</v>
      </c>
      <c r="E151" s="90" t="s">
        <v>146</v>
      </c>
      <c r="F151" s="90" t="s">
        <v>171</v>
      </c>
      <c r="G151" s="93"/>
      <c r="H151" s="93"/>
      <c r="I151" s="93"/>
      <c r="J151" s="93"/>
      <c r="K151" s="95">
        <v>1850603.49</v>
      </c>
      <c r="L151" s="96"/>
      <c r="M151" s="95">
        <f t="shared" si="6"/>
        <v>1850603.49</v>
      </c>
      <c r="N151" s="95">
        <v>1032542.1407</v>
      </c>
      <c r="O151" s="95">
        <v>0</v>
      </c>
      <c r="P151" s="96"/>
      <c r="Q151" s="95">
        <v>748536.38390000002</v>
      </c>
      <c r="R151" s="95">
        <f t="shared" si="8"/>
        <v>69524.965400000001</v>
      </c>
      <c r="S151" s="96"/>
      <c r="T151" s="95">
        <v>69524.965400000001</v>
      </c>
      <c r="U151" s="96"/>
      <c r="V151" s="96"/>
      <c r="W151" s="96"/>
      <c r="X151" s="96"/>
      <c r="Y151" s="9">
        <f>IFERROR(VLOOKUP(B151,'[1]2122 Veterans Count'!$J:$M,4,FALSE),0)</f>
        <v>3.4482758620689655E-2</v>
      </c>
      <c r="Z151" s="97">
        <f t="shared" si="7"/>
        <v>2397.4126000000001</v>
      </c>
    </row>
    <row r="152" spans="1:26" x14ac:dyDescent="0.25">
      <c r="A152" s="90" t="s">
        <v>48</v>
      </c>
      <c r="B152" s="91">
        <v>4100207363.7473998</v>
      </c>
      <c r="C152" s="90" t="s">
        <v>201</v>
      </c>
      <c r="D152" s="90" t="s">
        <v>50</v>
      </c>
      <c r="E152" s="90" t="s">
        <v>146</v>
      </c>
      <c r="F152" s="90" t="s">
        <v>171</v>
      </c>
      <c r="G152" s="93"/>
      <c r="H152" s="93"/>
      <c r="I152" s="93"/>
      <c r="J152" s="93"/>
      <c r="K152" s="95">
        <v>275875.73</v>
      </c>
      <c r="L152" s="96"/>
      <c r="M152" s="95">
        <f t="shared" si="6"/>
        <v>275875.73</v>
      </c>
      <c r="N152" s="95">
        <v>147063.95079999999</v>
      </c>
      <c r="O152" s="95">
        <v>0</v>
      </c>
      <c r="P152" s="96"/>
      <c r="Q152" s="95">
        <v>126979.2262</v>
      </c>
      <c r="R152" s="95">
        <f t="shared" si="8"/>
        <v>1832.5530000000001</v>
      </c>
      <c r="S152" s="96"/>
      <c r="T152" s="95">
        <v>1832.5530000000001</v>
      </c>
      <c r="U152" s="96"/>
      <c r="V152" s="96"/>
      <c r="W152" s="96"/>
      <c r="X152" s="96"/>
      <c r="Y152" s="9">
        <f>IFERROR(VLOOKUP(B152,'[1]2122 Veterans Count'!$J:$M,4,FALSE),0)</f>
        <v>0</v>
      </c>
      <c r="Z152" s="97">
        <f t="shared" si="7"/>
        <v>0</v>
      </c>
    </row>
    <row r="153" spans="1:26" x14ac:dyDescent="0.25">
      <c r="A153" s="90" t="s">
        <v>48</v>
      </c>
      <c r="B153" s="91">
        <v>4100207377.7473998</v>
      </c>
      <c r="C153" s="90" t="s">
        <v>202</v>
      </c>
      <c r="D153" s="90" t="s">
        <v>50</v>
      </c>
      <c r="E153" s="90" t="s">
        <v>146</v>
      </c>
      <c r="F153" s="90" t="s">
        <v>171</v>
      </c>
      <c r="G153" s="93"/>
      <c r="H153" s="93"/>
      <c r="I153" s="93"/>
      <c r="J153" s="93"/>
      <c r="K153" s="95">
        <v>91172.04</v>
      </c>
      <c r="L153" s="109"/>
      <c r="M153" s="95">
        <f t="shared" si="6"/>
        <v>91172.04</v>
      </c>
      <c r="N153" s="95">
        <v>51126.375699999997</v>
      </c>
      <c r="O153" s="95">
        <v>0</v>
      </c>
      <c r="P153" s="96"/>
      <c r="Q153" s="95">
        <v>39726.046399999999</v>
      </c>
      <c r="R153" s="95">
        <f t="shared" si="8"/>
        <v>319.61790000000002</v>
      </c>
      <c r="S153" s="96"/>
      <c r="T153" s="95">
        <v>319.61790000000002</v>
      </c>
      <c r="U153" s="96"/>
      <c r="V153" s="96"/>
      <c r="W153" s="96"/>
      <c r="X153" s="96"/>
      <c r="Y153" s="9">
        <f>IFERROR(VLOOKUP(B153,'[1]2122 Veterans Count'!$J:$M,4,FALSE),0)</f>
        <v>0</v>
      </c>
      <c r="Z153" s="97">
        <f t="shared" si="7"/>
        <v>0</v>
      </c>
    </row>
    <row r="154" spans="1:26" x14ac:dyDescent="0.25">
      <c r="A154" s="90" t="s">
        <v>48</v>
      </c>
      <c r="B154" s="91">
        <v>4100207392.7473998</v>
      </c>
      <c r="C154" s="90" t="s">
        <v>203</v>
      </c>
      <c r="D154" s="90" t="s">
        <v>50</v>
      </c>
      <c r="E154" s="90" t="s">
        <v>146</v>
      </c>
      <c r="F154" s="90" t="s">
        <v>171</v>
      </c>
      <c r="G154" s="93"/>
      <c r="H154" s="93"/>
      <c r="I154" s="93"/>
      <c r="J154" s="93"/>
      <c r="K154" s="95">
        <v>874.95</v>
      </c>
      <c r="L154" s="109"/>
      <c r="M154" s="95">
        <f t="shared" si="6"/>
        <v>874.95</v>
      </c>
      <c r="N154" s="95">
        <v>299.39429999999999</v>
      </c>
      <c r="O154" s="95">
        <v>0</v>
      </c>
      <c r="P154" s="109"/>
      <c r="Q154" s="95">
        <v>342.22</v>
      </c>
      <c r="R154" s="95">
        <f t="shared" si="8"/>
        <v>233.3357</v>
      </c>
      <c r="S154" s="96"/>
      <c r="T154" s="95">
        <v>233.3357</v>
      </c>
      <c r="U154" s="96"/>
      <c r="V154" s="96"/>
      <c r="W154" s="96"/>
      <c r="X154" s="96"/>
      <c r="Y154" s="9">
        <f>IFERROR(VLOOKUP(B154,'[1]2122 Veterans Count'!$J:$M,4,FALSE),0)</f>
        <v>0</v>
      </c>
      <c r="Z154" s="97">
        <f t="shared" si="7"/>
        <v>0</v>
      </c>
    </row>
    <row r="155" spans="1:26" x14ac:dyDescent="0.25">
      <c r="A155" s="110" t="s">
        <v>48</v>
      </c>
      <c r="B155" s="111">
        <v>4100207573.8354998</v>
      </c>
      <c r="C155" s="110" t="s">
        <v>204</v>
      </c>
      <c r="D155" s="110" t="s">
        <v>50</v>
      </c>
      <c r="E155" s="110" t="s">
        <v>146</v>
      </c>
      <c r="F155" s="110" t="s">
        <v>171</v>
      </c>
      <c r="G155" s="112"/>
      <c r="H155" s="112"/>
      <c r="I155" s="112"/>
      <c r="J155" s="112"/>
      <c r="K155" s="113">
        <v>354178.93369999999</v>
      </c>
      <c r="L155" s="142">
        <v>142480.70079999999</v>
      </c>
      <c r="M155" s="113">
        <f t="shared" si="6"/>
        <v>496659.63449999999</v>
      </c>
      <c r="N155" s="113">
        <v>0</v>
      </c>
      <c r="O155" s="116"/>
      <c r="P155" s="114"/>
      <c r="Q155" s="113">
        <v>496659.63449999999</v>
      </c>
      <c r="R155" s="113">
        <f t="shared" si="8"/>
        <v>0</v>
      </c>
      <c r="S155" s="114"/>
      <c r="T155" s="113">
        <v>0</v>
      </c>
      <c r="U155" s="114"/>
      <c r="V155" s="114"/>
      <c r="W155" s="114"/>
      <c r="X155" s="114"/>
      <c r="Y155" s="9">
        <f>IFERROR(VLOOKUP(B155,'[1]2122 Veterans Count'!$J:$M,4,FALSE),0)</f>
        <v>0</v>
      </c>
      <c r="Z155" s="97">
        <f t="shared" si="7"/>
        <v>0</v>
      </c>
    </row>
    <row r="156" spans="1:26" x14ac:dyDescent="0.25">
      <c r="A156" s="90" t="s">
        <v>48</v>
      </c>
      <c r="B156" s="91">
        <v>4100207586.7473998</v>
      </c>
      <c r="C156" s="90" t="s">
        <v>205</v>
      </c>
      <c r="D156" s="90" t="s">
        <v>50</v>
      </c>
      <c r="E156" s="90" t="s">
        <v>146</v>
      </c>
      <c r="F156" s="90" t="s">
        <v>171</v>
      </c>
      <c r="G156" s="93"/>
      <c r="H156" s="93"/>
      <c r="I156" s="93"/>
      <c r="J156" s="93"/>
      <c r="K156" s="95">
        <v>1194167.2313999999</v>
      </c>
      <c r="L156" s="100">
        <v>482533.67609999998</v>
      </c>
      <c r="M156" s="95">
        <f t="shared" si="6"/>
        <v>1676700.9075</v>
      </c>
      <c r="N156" s="95">
        <v>211834.78539999999</v>
      </c>
      <c r="O156" s="95">
        <v>0</v>
      </c>
      <c r="P156" s="96"/>
      <c r="Q156" s="95">
        <v>1437614.7875999999</v>
      </c>
      <c r="R156" s="95">
        <f t="shared" si="8"/>
        <v>27251.334599999998</v>
      </c>
      <c r="S156" s="96"/>
      <c r="T156" s="95">
        <v>27251.334599999998</v>
      </c>
      <c r="U156" s="96"/>
      <c r="V156" s="96"/>
      <c r="W156" s="96"/>
      <c r="X156" s="96"/>
      <c r="Y156" s="9">
        <f>IFERROR(VLOOKUP(B156,'[1]2122 Veterans Count'!$J:$M,4,FALSE),0)</f>
        <v>0</v>
      </c>
      <c r="Z156" s="97">
        <f t="shared" si="7"/>
        <v>0</v>
      </c>
    </row>
    <row r="157" spans="1:26" x14ac:dyDescent="0.25">
      <c r="A157" s="90" t="s">
        <v>48</v>
      </c>
      <c r="B157" s="91">
        <v>4100207641.7473998</v>
      </c>
      <c r="C157" s="90" t="s">
        <v>206</v>
      </c>
      <c r="D157" s="90" t="s">
        <v>50</v>
      </c>
      <c r="E157" s="90" t="s">
        <v>146</v>
      </c>
      <c r="F157" s="90" t="s">
        <v>171</v>
      </c>
      <c r="G157" s="93"/>
      <c r="H157" s="93"/>
      <c r="I157" s="93"/>
      <c r="J157" s="93"/>
      <c r="K157" s="95">
        <v>680673.55920000002</v>
      </c>
      <c r="L157" s="100">
        <v>268967.75880000001</v>
      </c>
      <c r="M157" s="95">
        <f t="shared" si="6"/>
        <v>949641.31799999997</v>
      </c>
      <c r="N157" s="95">
        <v>161094.9656</v>
      </c>
      <c r="O157" s="95">
        <v>0</v>
      </c>
      <c r="P157" s="96"/>
      <c r="Q157" s="95">
        <v>105539.0068</v>
      </c>
      <c r="R157" s="95">
        <f t="shared" si="8"/>
        <v>683007.3456</v>
      </c>
      <c r="S157" s="96"/>
      <c r="T157" s="95">
        <v>683007.3456</v>
      </c>
      <c r="U157" s="96"/>
      <c r="V157" s="96"/>
      <c r="W157" s="96"/>
      <c r="X157" s="96"/>
      <c r="Y157" s="9">
        <f>IFERROR(VLOOKUP(B157,'[1]2122 Veterans Count'!$J:$M,4,FALSE),0)</f>
        <v>0</v>
      </c>
      <c r="Z157" s="97">
        <f t="shared" si="7"/>
        <v>0</v>
      </c>
    </row>
    <row r="158" spans="1:26" x14ac:dyDescent="0.25">
      <c r="A158" s="110" t="s">
        <v>48</v>
      </c>
      <c r="B158" s="111">
        <v>4100207642.7473998</v>
      </c>
      <c r="C158" s="110" t="s">
        <v>207</v>
      </c>
      <c r="D158" s="110" t="s">
        <v>50</v>
      </c>
      <c r="E158" s="110" t="s">
        <v>146</v>
      </c>
      <c r="F158" s="110" t="s">
        <v>171</v>
      </c>
      <c r="G158" s="112"/>
      <c r="H158" s="112"/>
      <c r="I158" s="112"/>
      <c r="J158" s="112"/>
      <c r="K158" s="113">
        <v>701831.79599999997</v>
      </c>
      <c r="L158" s="142">
        <v>276882.83799999999</v>
      </c>
      <c r="M158" s="113">
        <f t="shared" si="6"/>
        <v>978714.63399999996</v>
      </c>
      <c r="N158" s="113">
        <v>0</v>
      </c>
      <c r="O158" s="116"/>
      <c r="P158" s="114"/>
      <c r="Q158" s="113">
        <v>978714.63399999996</v>
      </c>
      <c r="R158" s="113">
        <f t="shared" si="8"/>
        <v>0</v>
      </c>
      <c r="S158" s="114"/>
      <c r="T158" s="113">
        <v>0</v>
      </c>
      <c r="U158" s="114"/>
      <c r="V158" s="114"/>
      <c r="W158" s="114"/>
      <c r="X158" s="114"/>
      <c r="Y158" s="9">
        <f>IFERROR(VLOOKUP(B158,'[1]2122 Veterans Count'!$J:$M,4,FALSE),0)</f>
        <v>0</v>
      </c>
      <c r="Z158" s="97">
        <f t="shared" si="7"/>
        <v>0</v>
      </c>
    </row>
    <row r="159" spans="1:26" x14ac:dyDescent="0.25">
      <c r="A159" s="101" t="s">
        <v>48</v>
      </c>
      <c r="B159" s="102">
        <v>4100207659.7473998</v>
      </c>
      <c r="C159" s="101" t="s">
        <v>208</v>
      </c>
      <c r="D159" s="101" t="s">
        <v>50</v>
      </c>
      <c r="E159" s="101" t="s">
        <v>146</v>
      </c>
      <c r="F159" s="101" t="s">
        <v>171</v>
      </c>
      <c r="G159" s="103"/>
      <c r="H159" s="103"/>
      <c r="I159" s="103"/>
      <c r="J159" s="103"/>
      <c r="K159" s="104">
        <f>1093125.9888-1093125.9888</f>
        <v>0</v>
      </c>
      <c r="L159" s="108">
        <f>-1093125.9886+1093125.9886</f>
        <v>0</v>
      </c>
      <c r="M159" s="104">
        <f t="shared" si="6"/>
        <v>0</v>
      </c>
      <c r="N159" s="107"/>
      <c r="O159" s="107"/>
      <c r="P159" s="105"/>
      <c r="Q159" s="107"/>
      <c r="R159" s="104">
        <f t="shared" si="8"/>
        <v>2.0000000000000001E-4</v>
      </c>
      <c r="S159" s="105"/>
      <c r="T159" s="104">
        <v>2.0000000000000001E-4</v>
      </c>
      <c r="U159" s="105"/>
      <c r="V159" s="105"/>
      <c r="W159" s="105"/>
      <c r="X159" s="105"/>
      <c r="Y159" s="9">
        <f>IFERROR(VLOOKUP(B159,'[1]2122 Veterans Count'!$J:$M,4,FALSE),0)</f>
        <v>0</v>
      </c>
      <c r="Z159" s="97">
        <f t="shared" si="7"/>
        <v>0</v>
      </c>
    </row>
    <row r="160" spans="1:26" x14ac:dyDescent="0.25">
      <c r="A160" s="90" t="s">
        <v>48</v>
      </c>
      <c r="B160" s="91">
        <v>4100207717.7473998</v>
      </c>
      <c r="C160" s="90" t="s">
        <v>209</v>
      </c>
      <c r="D160" s="90" t="s">
        <v>50</v>
      </c>
      <c r="E160" s="90" t="s">
        <v>146</v>
      </c>
      <c r="F160" s="90" t="s">
        <v>171</v>
      </c>
      <c r="G160" s="93"/>
      <c r="H160" s="93"/>
      <c r="I160" s="93"/>
      <c r="J160" s="93"/>
      <c r="K160" s="95">
        <v>423310.58</v>
      </c>
      <c r="L160" s="96"/>
      <c r="M160" s="95">
        <f t="shared" si="6"/>
        <v>423310.58</v>
      </c>
      <c r="N160" s="95">
        <v>237472.6122</v>
      </c>
      <c r="O160" s="95">
        <v>0</v>
      </c>
      <c r="P160" s="96"/>
      <c r="Q160" s="95">
        <v>184359.4957</v>
      </c>
      <c r="R160" s="95">
        <f t="shared" si="8"/>
        <v>1478.4721</v>
      </c>
      <c r="S160" s="96"/>
      <c r="T160" s="95">
        <v>1478.4721</v>
      </c>
      <c r="U160" s="96"/>
      <c r="V160" s="96"/>
      <c r="W160" s="96"/>
      <c r="X160" s="96"/>
      <c r="Y160" s="9">
        <f>IFERROR(VLOOKUP(B160,'[1]2122 Veterans Count'!$J:$M,4,FALSE),0)</f>
        <v>0</v>
      </c>
      <c r="Z160" s="97">
        <f t="shared" si="7"/>
        <v>0</v>
      </c>
    </row>
    <row r="161" spans="1:26" x14ac:dyDescent="0.25">
      <c r="A161" s="90" t="s">
        <v>48</v>
      </c>
      <c r="B161" s="91">
        <v>4100207721.7473998</v>
      </c>
      <c r="C161" s="90" t="s">
        <v>210</v>
      </c>
      <c r="D161" s="90" t="s">
        <v>50</v>
      </c>
      <c r="E161" s="90" t="s">
        <v>146</v>
      </c>
      <c r="F161" s="90" t="s">
        <v>171</v>
      </c>
      <c r="G161" s="93"/>
      <c r="H161" s="93"/>
      <c r="I161" s="93"/>
      <c r="J161" s="93"/>
      <c r="K161" s="95">
        <v>518661.44270000001</v>
      </c>
      <c r="L161" s="100">
        <v>186345.7458</v>
      </c>
      <c r="M161" s="95">
        <f t="shared" si="6"/>
        <v>705007.18850000005</v>
      </c>
      <c r="N161" s="95">
        <v>130795.0779</v>
      </c>
      <c r="O161" s="95">
        <v>0</v>
      </c>
      <c r="P161" s="96"/>
      <c r="Q161" s="95">
        <v>88804.918099999995</v>
      </c>
      <c r="R161" s="95">
        <f t="shared" si="8"/>
        <v>485407.1925</v>
      </c>
      <c r="S161" s="96"/>
      <c r="T161" s="95">
        <v>485407.1925</v>
      </c>
      <c r="U161" s="96"/>
      <c r="V161" s="96"/>
      <c r="W161" s="96"/>
      <c r="X161" s="96"/>
      <c r="Y161" s="9">
        <f>IFERROR(VLOOKUP(B161,'[1]2122 Veterans Count'!$J:$M,4,FALSE),0)</f>
        <v>0</v>
      </c>
      <c r="Z161" s="97">
        <f t="shared" si="7"/>
        <v>0</v>
      </c>
    </row>
    <row r="162" spans="1:26" x14ac:dyDescent="0.25">
      <c r="A162" s="90" t="s">
        <v>48</v>
      </c>
      <c r="B162" s="91">
        <v>4100226501.7473998</v>
      </c>
      <c r="C162" s="90" t="s">
        <v>211</v>
      </c>
      <c r="D162" s="90" t="s">
        <v>50</v>
      </c>
      <c r="E162" s="90" t="s">
        <v>146</v>
      </c>
      <c r="F162" s="90" t="s">
        <v>171</v>
      </c>
      <c r="G162" s="93"/>
      <c r="H162" s="93"/>
      <c r="I162" s="93"/>
      <c r="J162" s="93"/>
      <c r="K162" s="95">
        <v>46847.936699999998</v>
      </c>
      <c r="L162" s="100">
        <v>0</v>
      </c>
      <c r="M162" s="95">
        <f t="shared" si="6"/>
        <v>46847.936699999998</v>
      </c>
      <c r="N162" s="115"/>
      <c r="O162" s="115"/>
      <c r="P162" s="96"/>
      <c r="Q162" s="95">
        <v>42061.0965</v>
      </c>
      <c r="R162" s="95">
        <f t="shared" si="8"/>
        <v>4786.8401999999996</v>
      </c>
      <c r="S162" s="96"/>
      <c r="T162" s="95">
        <v>4786.8401999999996</v>
      </c>
      <c r="U162" s="96"/>
      <c r="V162" s="96"/>
      <c r="W162" s="109"/>
      <c r="X162" s="96"/>
      <c r="Y162" s="9">
        <f>IFERROR(VLOOKUP(B162,'[1]2122 Veterans Count'!$J:$M,4,FALSE),0)</f>
        <v>0</v>
      </c>
      <c r="Z162" s="97">
        <f t="shared" si="7"/>
        <v>0</v>
      </c>
    </row>
    <row r="163" spans="1:26" x14ac:dyDescent="0.25">
      <c r="A163" s="110" t="s">
        <v>48</v>
      </c>
      <c r="B163" s="111">
        <v>4100226939.7473998</v>
      </c>
      <c r="C163" s="110" t="s">
        <v>212</v>
      </c>
      <c r="D163" s="110" t="s">
        <v>50</v>
      </c>
      <c r="E163" s="110" t="s">
        <v>146</v>
      </c>
      <c r="F163" s="110" t="s">
        <v>171</v>
      </c>
      <c r="G163" s="112"/>
      <c r="H163" s="112"/>
      <c r="I163" s="112"/>
      <c r="J163" s="112"/>
      <c r="K163" s="113">
        <v>187400</v>
      </c>
      <c r="L163" s="114"/>
      <c r="M163" s="113">
        <f t="shared" si="6"/>
        <v>187400</v>
      </c>
      <c r="N163" s="113">
        <v>93700</v>
      </c>
      <c r="O163" s="116"/>
      <c r="P163" s="114"/>
      <c r="Q163" s="113">
        <v>93700</v>
      </c>
      <c r="R163" s="113">
        <f t="shared" si="8"/>
        <v>0</v>
      </c>
      <c r="S163" s="114"/>
      <c r="T163" s="113">
        <v>0</v>
      </c>
      <c r="U163" s="114"/>
      <c r="V163" s="114"/>
      <c r="W163" s="117"/>
      <c r="X163" s="114"/>
      <c r="Y163" s="9">
        <f>IFERROR(VLOOKUP(B163,'[1]2122 Veterans Count'!$J:$M,4,FALSE),0)</f>
        <v>0</v>
      </c>
      <c r="Z163" s="97">
        <f t="shared" si="7"/>
        <v>0</v>
      </c>
    </row>
    <row r="164" spans="1:26" x14ac:dyDescent="0.25">
      <c r="A164" s="90" t="s">
        <v>48</v>
      </c>
      <c r="B164" s="91">
        <v>4100227040.7473998</v>
      </c>
      <c r="C164" s="90" t="s">
        <v>213</v>
      </c>
      <c r="D164" s="90" t="s">
        <v>50</v>
      </c>
      <c r="E164" s="90" t="s">
        <v>146</v>
      </c>
      <c r="F164" s="90" t="s">
        <v>171</v>
      </c>
      <c r="G164" s="93"/>
      <c r="H164" s="93"/>
      <c r="I164" s="93"/>
      <c r="J164" s="93"/>
      <c r="K164" s="95">
        <v>446429.26</v>
      </c>
      <c r="L164" s="109"/>
      <c r="M164" s="95">
        <f t="shared" si="6"/>
        <v>446429.26</v>
      </c>
      <c r="N164" s="95">
        <v>277914.87</v>
      </c>
      <c r="O164" s="95">
        <v>0</v>
      </c>
      <c r="P164" s="96"/>
      <c r="Q164" s="95">
        <v>92332.737999999998</v>
      </c>
      <c r="R164" s="95">
        <f t="shared" si="8"/>
        <v>76181.652000000002</v>
      </c>
      <c r="S164" s="96"/>
      <c r="T164" s="95">
        <v>76181.652000000002</v>
      </c>
      <c r="U164" s="96"/>
      <c r="V164" s="96"/>
      <c r="W164" s="109"/>
      <c r="X164" s="96"/>
      <c r="Y164" s="9">
        <f>IFERROR(VLOOKUP(B164,'[1]2122 Veterans Count'!$J:$M,4,FALSE),0)</f>
        <v>8.0000000000000002E-3</v>
      </c>
      <c r="Z164" s="97">
        <f t="shared" si="7"/>
        <v>609.453216</v>
      </c>
    </row>
    <row r="165" spans="1:26" x14ac:dyDescent="0.25">
      <c r="A165" s="110" t="s">
        <v>48</v>
      </c>
      <c r="B165" s="111">
        <v>4100227255.7473998</v>
      </c>
      <c r="C165" s="110" t="s">
        <v>214</v>
      </c>
      <c r="D165" s="110" t="s">
        <v>50</v>
      </c>
      <c r="E165" s="110" t="s">
        <v>146</v>
      </c>
      <c r="F165" s="110" t="s">
        <v>171</v>
      </c>
      <c r="G165" s="112"/>
      <c r="H165" s="112"/>
      <c r="I165" s="112"/>
      <c r="J165" s="112"/>
      <c r="K165" s="113">
        <v>908567.01</v>
      </c>
      <c r="L165" s="117"/>
      <c r="M165" s="113">
        <f t="shared" si="6"/>
        <v>908567.01</v>
      </c>
      <c r="N165" s="113">
        <v>462527.44209999999</v>
      </c>
      <c r="O165" s="113">
        <v>0</v>
      </c>
      <c r="P165" s="114"/>
      <c r="Q165" s="113">
        <v>446039.56790000002</v>
      </c>
      <c r="R165" s="113">
        <f t="shared" si="8"/>
        <v>0</v>
      </c>
      <c r="S165" s="114"/>
      <c r="T165" s="113">
        <v>0</v>
      </c>
      <c r="U165" s="114"/>
      <c r="V165" s="114"/>
      <c r="W165" s="117"/>
      <c r="X165" s="114"/>
      <c r="Y165" s="9">
        <f>IFERROR(VLOOKUP(B165,'[1]2122 Veterans Count'!$J:$M,4,FALSE),0)</f>
        <v>0</v>
      </c>
      <c r="Z165" s="97">
        <f t="shared" si="7"/>
        <v>0</v>
      </c>
    </row>
    <row r="166" spans="1:26" x14ac:dyDescent="0.25">
      <c r="A166" s="90" t="s">
        <v>48</v>
      </c>
      <c r="B166" s="91">
        <v>4100227323.7473998</v>
      </c>
      <c r="C166" s="90" t="s">
        <v>215</v>
      </c>
      <c r="D166" s="90" t="s">
        <v>50</v>
      </c>
      <c r="E166" s="90" t="s">
        <v>146</v>
      </c>
      <c r="F166" s="90" t="s">
        <v>171</v>
      </c>
      <c r="G166" s="93"/>
      <c r="H166" s="93"/>
      <c r="I166" s="93"/>
      <c r="J166" s="93"/>
      <c r="K166" s="95">
        <v>2575435.29</v>
      </c>
      <c r="L166" s="96"/>
      <c r="M166" s="95">
        <f t="shared" si="6"/>
        <v>2575435.29</v>
      </c>
      <c r="N166" s="95">
        <v>1401524.8023000001</v>
      </c>
      <c r="O166" s="95">
        <v>0</v>
      </c>
      <c r="P166" s="96"/>
      <c r="Q166" s="95">
        <v>1115326.6065</v>
      </c>
      <c r="R166" s="95">
        <f t="shared" si="8"/>
        <v>58583.881200000003</v>
      </c>
      <c r="S166" s="96"/>
      <c r="T166" s="95">
        <v>58583.881200000003</v>
      </c>
      <c r="U166" s="96"/>
      <c r="V166" s="96"/>
      <c r="W166" s="109"/>
      <c r="X166" s="96"/>
      <c r="Y166" s="9">
        <f>IFERROR(VLOOKUP(B166,'[1]2122 Veterans Count'!$J:$M,4,FALSE),0)</f>
        <v>0</v>
      </c>
      <c r="Z166" s="97">
        <f t="shared" si="7"/>
        <v>0</v>
      </c>
    </row>
    <row r="167" spans="1:26" x14ac:dyDescent="0.25">
      <c r="A167" s="90" t="s">
        <v>48</v>
      </c>
      <c r="B167" s="91">
        <v>4100227324.7473998</v>
      </c>
      <c r="C167" s="90" t="s">
        <v>216</v>
      </c>
      <c r="D167" s="90" t="s">
        <v>50</v>
      </c>
      <c r="E167" s="90" t="s">
        <v>146</v>
      </c>
      <c r="F167" s="90" t="s">
        <v>171</v>
      </c>
      <c r="G167" s="93"/>
      <c r="H167" s="93"/>
      <c r="I167" s="93"/>
      <c r="J167" s="93"/>
      <c r="K167" s="95">
        <v>2624616.25</v>
      </c>
      <c r="L167" s="96"/>
      <c r="M167" s="95">
        <f t="shared" si="6"/>
        <v>2624616.25</v>
      </c>
      <c r="N167" s="95">
        <v>1454923.5634999999</v>
      </c>
      <c r="O167" s="100">
        <v>0</v>
      </c>
      <c r="P167" s="96"/>
      <c r="Q167" s="95">
        <v>1127503.1819</v>
      </c>
      <c r="R167" s="95">
        <f t="shared" si="8"/>
        <v>42189.5046</v>
      </c>
      <c r="S167" s="96"/>
      <c r="T167" s="95">
        <v>42189.5046</v>
      </c>
      <c r="U167" s="96"/>
      <c r="V167" s="96"/>
      <c r="W167" s="109"/>
      <c r="X167" s="96"/>
      <c r="Y167" s="9">
        <f>IFERROR(VLOOKUP(B167,'[1]2122 Veterans Count'!$J:$M,4,FALSE),0)</f>
        <v>0</v>
      </c>
      <c r="Z167" s="97">
        <f t="shared" si="7"/>
        <v>0</v>
      </c>
    </row>
    <row r="168" spans="1:26" x14ac:dyDescent="0.25">
      <c r="A168" s="90" t="s">
        <v>48</v>
      </c>
      <c r="B168" s="91">
        <v>4100227330.7473998</v>
      </c>
      <c r="C168" s="90" t="s">
        <v>217</v>
      </c>
      <c r="D168" s="90" t="s">
        <v>50</v>
      </c>
      <c r="E168" s="90" t="s">
        <v>146</v>
      </c>
      <c r="F168" s="90" t="s">
        <v>171</v>
      </c>
      <c r="G168" s="93"/>
      <c r="H168" s="93"/>
      <c r="I168" s="93"/>
      <c r="J168" s="93"/>
      <c r="K168" s="95">
        <v>547472.54</v>
      </c>
      <c r="L168" s="109"/>
      <c r="M168" s="95">
        <f t="shared" si="6"/>
        <v>547472.54</v>
      </c>
      <c r="N168" s="95">
        <v>310589.5895</v>
      </c>
      <c r="O168" s="95">
        <v>0</v>
      </c>
      <c r="P168" s="96"/>
      <c r="Q168" s="95">
        <v>236420.8174</v>
      </c>
      <c r="R168" s="95">
        <f t="shared" si="8"/>
        <v>462.13310000000001</v>
      </c>
      <c r="S168" s="96"/>
      <c r="T168" s="95">
        <v>462.13310000000001</v>
      </c>
      <c r="U168" s="96"/>
      <c r="V168" s="96"/>
      <c r="W168" s="109"/>
      <c r="X168" s="96"/>
      <c r="Y168" s="9">
        <f>IFERROR(VLOOKUP(B168,'[1]2122 Veterans Count'!$J:$M,4,FALSE),0)</f>
        <v>0</v>
      </c>
      <c r="Z168" s="97">
        <f t="shared" si="7"/>
        <v>0</v>
      </c>
    </row>
    <row r="169" spans="1:26" x14ac:dyDescent="0.25">
      <c r="A169" s="90" t="s">
        <v>48</v>
      </c>
      <c r="B169" s="91">
        <v>4100227331.7473998</v>
      </c>
      <c r="C169" s="90" t="s">
        <v>218</v>
      </c>
      <c r="D169" s="90" t="s">
        <v>50</v>
      </c>
      <c r="E169" s="90" t="s">
        <v>146</v>
      </c>
      <c r="F169" s="90" t="s">
        <v>171</v>
      </c>
      <c r="G169" s="93"/>
      <c r="H169" s="93"/>
      <c r="I169" s="93"/>
      <c r="J169" s="93"/>
      <c r="K169" s="95">
        <v>3078925.92</v>
      </c>
      <c r="L169" s="109"/>
      <c r="M169" s="95">
        <f t="shared" si="6"/>
        <v>3078925.92</v>
      </c>
      <c r="N169" s="95">
        <v>1677436.7131000001</v>
      </c>
      <c r="O169" s="95">
        <v>0</v>
      </c>
      <c r="P169" s="96"/>
      <c r="Q169" s="95">
        <v>1281785.1592999999</v>
      </c>
      <c r="R169" s="95">
        <f t="shared" si="8"/>
        <v>119704.04760000001</v>
      </c>
      <c r="S169" s="96"/>
      <c r="T169" s="95">
        <v>119704.04760000001</v>
      </c>
      <c r="U169" s="96"/>
      <c r="V169" s="96"/>
      <c r="W169" s="109"/>
      <c r="X169" s="96"/>
      <c r="Y169" s="9">
        <f>IFERROR(VLOOKUP(B169,'[1]2122 Veterans Count'!$J:$M,4,FALSE),0)</f>
        <v>0</v>
      </c>
      <c r="Z169" s="97">
        <f t="shared" si="7"/>
        <v>0</v>
      </c>
    </row>
    <row r="170" spans="1:26" x14ac:dyDescent="0.25">
      <c r="A170" s="90" t="s">
        <v>48</v>
      </c>
      <c r="B170" s="91">
        <v>4100227332.7473998</v>
      </c>
      <c r="C170" s="90" t="s">
        <v>219</v>
      </c>
      <c r="D170" s="90" t="s">
        <v>50</v>
      </c>
      <c r="E170" s="90" t="s">
        <v>146</v>
      </c>
      <c r="F170" s="90" t="s">
        <v>171</v>
      </c>
      <c r="G170" s="93"/>
      <c r="H170" s="93"/>
      <c r="I170" s="93"/>
      <c r="J170" s="93"/>
      <c r="K170" s="95">
        <v>1281680.23</v>
      </c>
      <c r="L170" s="109"/>
      <c r="M170" s="95">
        <f t="shared" si="6"/>
        <v>1281680.23</v>
      </c>
      <c r="N170" s="95">
        <v>732018.71239999996</v>
      </c>
      <c r="O170" s="95">
        <v>0</v>
      </c>
      <c r="P170" s="96"/>
      <c r="Q170" s="95">
        <v>549315.35789999994</v>
      </c>
      <c r="R170" s="95">
        <f t="shared" si="8"/>
        <v>346.15969999999999</v>
      </c>
      <c r="S170" s="96"/>
      <c r="T170" s="95">
        <v>346.15969999999999</v>
      </c>
      <c r="U170" s="96"/>
      <c r="V170" s="96"/>
      <c r="W170" s="109"/>
      <c r="X170" s="96"/>
      <c r="Y170" s="9">
        <f>IFERROR(VLOOKUP(B170,'[1]2122 Veterans Count'!$J:$M,4,FALSE),0)</f>
        <v>0</v>
      </c>
      <c r="Z170" s="97">
        <f t="shared" si="7"/>
        <v>0</v>
      </c>
    </row>
    <row r="171" spans="1:26" x14ac:dyDescent="0.25">
      <c r="A171" s="90" t="s">
        <v>48</v>
      </c>
      <c r="B171" s="91">
        <v>4100227342.7473998</v>
      </c>
      <c r="C171" s="90" t="s">
        <v>213</v>
      </c>
      <c r="D171" s="90" t="s">
        <v>50</v>
      </c>
      <c r="E171" s="90" t="s">
        <v>146</v>
      </c>
      <c r="F171" s="90" t="s">
        <v>171</v>
      </c>
      <c r="G171" s="93"/>
      <c r="H171" s="93"/>
      <c r="I171" s="93"/>
      <c r="J171" s="93"/>
      <c r="K171" s="95">
        <v>3619.09</v>
      </c>
      <c r="L171" s="109"/>
      <c r="M171" s="95">
        <f t="shared" si="6"/>
        <v>3619.09</v>
      </c>
      <c r="N171" s="95">
        <v>428.89139999999998</v>
      </c>
      <c r="O171" s="95">
        <v>0</v>
      </c>
      <c r="P171" s="96"/>
      <c r="Q171" s="95">
        <v>7.15</v>
      </c>
      <c r="R171" s="95">
        <f t="shared" si="8"/>
        <v>3183.0486000000001</v>
      </c>
      <c r="S171" s="96"/>
      <c r="T171" s="95">
        <v>3183.0486000000001</v>
      </c>
      <c r="U171" s="96"/>
      <c r="V171" s="96"/>
      <c r="W171" s="109"/>
      <c r="X171" s="96"/>
      <c r="Y171" s="9">
        <f>IFERROR(VLOOKUP(B171,'[1]2122 Veterans Count'!$J:$M,4,FALSE),0)</f>
        <v>0</v>
      </c>
      <c r="Z171" s="97">
        <f t="shared" si="7"/>
        <v>0</v>
      </c>
    </row>
    <row r="172" spans="1:26" x14ac:dyDescent="0.25">
      <c r="A172" s="90" t="s">
        <v>48</v>
      </c>
      <c r="B172" s="91">
        <v>4100228143.7473998</v>
      </c>
      <c r="C172" s="90" t="s">
        <v>220</v>
      </c>
      <c r="D172" s="90" t="s">
        <v>50</v>
      </c>
      <c r="E172" s="90" t="s">
        <v>146</v>
      </c>
      <c r="F172" s="90" t="s">
        <v>171</v>
      </c>
      <c r="G172" s="93"/>
      <c r="H172" s="93"/>
      <c r="I172" s="93"/>
      <c r="J172" s="93"/>
      <c r="K172" s="95">
        <v>795306.65</v>
      </c>
      <c r="L172" s="96"/>
      <c r="M172" s="95">
        <f t="shared" si="6"/>
        <v>795306.65</v>
      </c>
      <c r="N172" s="95">
        <v>469294.28519999998</v>
      </c>
      <c r="O172" s="95">
        <v>0</v>
      </c>
      <c r="P172" s="96"/>
      <c r="Q172" s="95">
        <v>274539.66759999999</v>
      </c>
      <c r="R172" s="95">
        <f t="shared" si="8"/>
        <v>51472.697200000002</v>
      </c>
      <c r="S172" s="96"/>
      <c r="T172" s="95">
        <v>51472.697200000002</v>
      </c>
      <c r="U172" s="96"/>
      <c r="V172" s="96"/>
      <c r="W172" s="109"/>
      <c r="X172" s="96"/>
      <c r="Y172" s="9">
        <f>IFERROR(VLOOKUP(B172,'[1]2122 Veterans Count'!$J:$M,4,FALSE),0)</f>
        <v>0</v>
      </c>
      <c r="Z172" s="97">
        <f t="shared" si="7"/>
        <v>0</v>
      </c>
    </row>
    <row r="173" spans="1:26" x14ac:dyDescent="0.25">
      <c r="A173" s="90" t="s">
        <v>48</v>
      </c>
      <c r="B173" s="91">
        <v>4100228287.7473998</v>
      </c>
      <c r="C173" s="90" t="s">
        <v>221</v>
      </c>
      <c r="D173" s="90" t="s">
        <v>50</v>
      </c>
      <c r="E173" s="90" t="s">
        <v>146</v>
      </c>
      <c r="F173" s="90" t="s">
        <v>171</v>
      </c>
      <c r="G173" s="93"/>
      <c r="H173" s="93"/>
      <c r="I173" s="93"/>
      <c r="J173" s="93"/>
      <c r="K173" s="95">
        <v>732.45</v>
      </c>
      <c r="L173" s="115"/>
      <c r="M173" s="95">
        <f t="shared" si="6"/>
        <v>732.45</v>
      </c>
      <c r="N173" s="95">
        <v>405.34219999999999</v>
      </c>
      <c r="O173" s="95">
        <v>0</v>
      </c>
      <c r="P173" s="96"/>
      <c r="Q173" s="95">
        <v>0</v>
      </c>
      <c r="R173" s="95">
        <f t="shared" si="8"/>
        <v>327.1078</v>
      </c>
      <c r="S173" s="96"/>
      <c r="T173" s="95">
        <v>327.1078</v>
      </c>
      <c r="U173" s="96"/>
      <c r="V173" s="96"/>
      <c r="W173" s="109"/>
      <c r="X173" s="96"/>
      <c r="Y173" s="9">
        <f>IFERROR(VLOOKUP(B173,'[1]2122 Veterans Count'!$J:$M,4,FALSE),0)</f>
        <v>0</v>
      </c>
      <c r="Z173" s="97">
        <f t="shared" si="7"/>
        <v>0</v>
      </c>
    </row>
    <row r="174" spans="1:26" x14ac:dyDescent="0.25">
      <c r="A174" s="90" t="s">
        <v>48</v>
      </c>
      <c r="B174" s="91">
        <v>4100228293.7473998</v>
      </c>
      <c r="C174" s="90" t="s">
        <v>222</v>
      </c>
      <c r="D174" s="90" t="s">
        <v>50</v>
      </c>
      <c r="E174" s="90" t="s">
        <v>146</v>
      </c>
      <c r="F174" s="90" t="s">
        <v>171</v>
      </c>
      <c r="G174" s="93"/>
      <c r="H174" s="93"/>
      <c r="I174" s="93"/>
      <c r="J174" s="93"/>
      <c r="K174" s="95">
        <v>179827.99</v>
      </c>
      <c r="L174" s="115"/>
      <c r="M174" s="95">
        <f t="shared" si="6"/>
        <v>179827.99</v>
      </c>
      <c r="N174" s="95">
        <v>71625.1872</v>
      </c>
      <c r="O174" s="95">
        <v>0</v>
      </c>
      <c r="P174" s="96"/>
      <c r="Q174" s="95">
        <v>95496.932400000005</v>
      </c>
      <c r="R174" s="95">
        <f t="shared" si="8"/>
        <v>12705.8704</v>
      </c>
      <c r="S174" s="96"/>
      <c r="T174" s="95">
        <v>12705.8704</v>
      </c>
      <c r="U174" s="96"/>
      <c r="V174" s="96"/>
      <c r="W174" s="109"/>
      <c r="X174" s="96"/>
      <c r="Y174" s="9">
        <f>IFERROR(VLOOKUP(B174,'[1]2122 Veterans Count'!$J:$M,4,FALSE),0)</f>
        <v>0</v>
      </c>
      <c r="Z174" s="97">
        <f t="shared" si="7"/>
        <v>0</v>
      </c>
    </row>
    <row r="175" spans="1:26" x14ac:dyDescent="0.25">
      <c r="A175" s="90" t="s">
        <v>48</v>
      </c>
      <c r="B175" s="91">
        <v>4100228374.7473998</v>
      </c>
      <c r="C175" s="90" t="s">
        <v>223</v>
      </c>
      <c r="D175" s="90" t="s">
        <v>50</v>
      </c>
      <c r="E175" s="90" t="s">
        <v>146</v>
      </c>
      <c r="F175" s="90" t="s">
        <v>171</v>
      </c>
      <c r="G175" s="93"/>
      <c r="H175" s="93"/>
      <c r="I175" s="93"/>
      <c r="J175" s="93"/>
      <c r="K175" s="95">
        <v>17218</v>
      </c>
      <c r="L175" s="115"/>
      <c r="M175" s="95">
        <f t="shared" si="6"/>
        <v>17218</v>
      </c>
      <c r="N175" s="95">
        <v>8795.5810000000001</v>
      </c>
      <c r="O175" s="100">
        <v>0</v>
      </c>
      <c r="P175" s="96"/>
      <c r="Q175" s="95">
        <v>8367.5795999999991</v>
      </c>
      <c r="R175" s="95">
        <f t="shared" si="8"/>
        <v>54.839399999999998</v>
      </c>
      <c r="S175" s="96"/>
      <c r="T175" s="95">
        <v>54.839399999999998</v>
      </c>
      <c r="U175" s="96"/>
      <c r="V175" s="96"/>
      <c r="W175" s="109"/>
      <c r="X175" s="96"/>
      <c r="Y175" s="9">
        <f>IFERROR(VLOOKUP(B175,'[1]2122 Veterans Count'!$J:$M,4,FALSE),0)</f>
        <v>0</v>
      </c>
      <c r="Z175" s="97">
        <f t="shared" si="7"/>
        <v>0</v>
      </c>
    </row>
    <row r="176" spans="1:26" x14ac:dyDescent="0.25">
      <c r="A176" s="90" t="s">
        <v>48</v>
      </c>
      <c r="B176" s="91">
        <v>4100228738.7473998</v>
      </c>
      <c r="C176" s="90" t="s">
        <v>224</v>
      </c>
      <c r="D176" s="90" t="s">
        <v>50</v>
      </c>
      <c r="E176" s="90" t="s">
        <v>146</v>
      </c>
      <c r="F176" s="90" t="s">
        <v>171</v>
      </c>
      <c r="G176" s="93"/>
      <c r="H176" s="93"/>
      <c r="I176" s="93"/>
      <c r="J176" s="93"/>
      <c r="K176" s="95">
        <v>3013410.78</v>
      </c>
      <c r="L176" s="109"/>
      <c r="M176" s="95">
        <f t="shared" si="6"/>
        <v>3013410.78</v>
      </c>
      <c r="N176" s="95">
        <v>1516003.5035999999</v>
      </c>
      <c r="O176" s="95">
        <v>0</v>
      </c>
      <c r="P176" s="96"/>
      <c r="Q176" s="95">
        <v>1139407.2296</v>
      </c>
      <c r="R176" s="95">
        <f t="shared" si="8"/>
        <v>358000.04680000001</v>
      </c>
      <c r="S176" s="96"/>
      <c r="T176" s="95">
        <v>358000.04680000001</v>
      </c>
      <c r="U176" s="96"/>
      <c r="V176" s="96"/>
      <c r="W176" s="109"/>
      <c r="X176" s="96"/>
      <c r="Y176" s="9">
        <f>IFERROR(VLOOKUP(B176,'[1]2122 Veterans Count'!$J:$M,4,FALSE),0)</f>
        <v>0</v>
      </c>
      <c r="Z176" s="97">
        <f t="shared" si="7"/>
        <v>0</v>
      </c>
    </row>
    <row r="177" spans="1:26" x14ac:dyDescent="0.25">
      <c r="A177" s="90" t="s">
        <v>48</v>
      </c>
      <c r="B177" s="91">
        <v>4100229212.7473998</v>
      </c>
      <c r="C177" s="90" t="s">
        <v>225</v>
      </c>
      <c r="D177" s="90" t="s">
        <v>50</v>
      </c>
      <c r="E177" s="90" t="s">
        <v>146</v>
      </c>
      <c r="F177" s="90" t="s">
        <v>171</v>
      </c>
      <c r="G177" s="93"/>
      <c r="H177" s="93"/>
      <c r="I177" s="93"/>
      <c r="J177" s="93"/>
      <c r="K177" s="95">
        <v>755806.46</v>
      </c>
      <c r="L177" s="96"/>
      <c r="M177" s="95">
        <f t="shared" si="6"/>
        <v>755806.46</v>
      </c>
      <c r="N177" s="95">
        <v>413412.19569999998</v>
      </c>
      <c r="O177" s="95">
        <v>0</v>
      </c>
      <c r="P177" s="96"/>
      <c r="Q177" s="95">
        <v>326771.1937</v>
      </c>
      <c r="R177" s="95">
        <f t="shared" si="8"/>
        <v>15623.070599999999</v>
      </c>
      <c r="S177" s="96"/>
      <c r="T177" s="95">
        <v>15623.070599999999</v>
      </c>
      <c r="U177" s="96"/>
      <c r="V177" s="96"/>
      <c r="W177" s="109"/>
      <c r="X177" s="96"/>
      <c r="Y177" s="9">
        <f>IFERROR(VLOOKUP(B177,'[1]2122 Veterans Count'!$J:$M,4,FALSE),0)</f>
        <v>0</v>
      </c>
      <c r="Z177" s="97">
        <f t="shared" si="7"/>
        <v>0</v>
      </c>
    </row>
    <row r="178" spans="1:26" x14ac:dyDescent="0.25">
      <c r="A178" s="90" t="s">
        <v>48</v>
      </c>
      <c r="B178" s="91">
        <v>4100230096.7473998</v>
      </c>
      <c r="C178" s="90" t="s">
        <v>226</v>
      </c>
      <c r="D178" s="90" t="s">
        <v>50</v>
      </c>
      <c r="E178" s="90" t="s">
        <v>146</v>
      </c>
      <c r="F178" s="90" t="s">
        <v>171</v>
      </c>
      <c r="G178" s="93"/>
      <c r="H178" s="93"/>
      <c r="I178" s="93"/>
      <c r="J178" s="93"/>
      <c r="K178" s="95">
        <v>1127563.54</v>
      </c>
      <c r="L178" s="109"/>
      <c r="M178" s="95">
        <f t="shared" si="6"/>
        <v>1127563.54</v>
      </c>
      <c r="N178" s="95">
        <v>749547.46369999996</v>
      </c>
      <c r="O178" s="95">
        <v>0</v>
      </c>
      <c r="P178" s="96"/>
      <c r="Q178" s="95">
        <v>206295.7249</v>
      </c>
      <c r="R178" s="95">
        <f t="shared" si="8"/>
        <v>171720.35140000001</v>
      </c>
      <c r="S178" s="96"/>
      <c r="T178" s="95">
        <v>171720.35140000001</v>
      </c>
      <c r="U178" s="96"/>
      <c r="V178" s="96"/>
      <c r="W178" s="109"/>
      <c r="X178" s="96"/>
      <c r="Y178" s="9">
        <f>IFERROR(VLOOKUP(B178,'[1]2122 Veterans Count'!$J:$M,4,FALSE),0)</f>
        <v>3.2894736842105261E-3</v>
      </c>
      <c r="Z178" s="97">
        <f t="shared" si="7"/>
        <v>564.86957697368427</v>
      </c>
    </row>
    <row r="179" spans="1:26" x14ac:dyDescent="0.25">
      <c r="A179" s="90" t="s">
        <v>48</v>
      </c>
      <c r="B179" s="91">
        <v>4100230174.7473998</v>
      </c>
      <c r="C179" s="90" t="s">
        <v>227</v>
      </c>
      <c r="D179" s="90" t="s">
        <v>50</v>
      </c>
      <c r="E179" s="90" t="s">
        <v>146</v>
      </c>
      <c r="F179" s="90" t="s">
        <v>171</v>
      </c>
      <c r="G179" s="93"/>
      <c r="H179" s="93"/>
      <c r="I179" s="93"/>
      <c r="J179" s="93"/>
      <c r="K179" s="95">
        <v>1336701.2</v>
      </c>
      <c r="L179" s="115"/>
      <c r="M179" s="95">
        <f t="shared" si="6"/>
        <v>1336701.2</v>
      </c>
      <c r="N179" s="95">
        <v>697789.13630000001</v>
      </c>
      <c r="O179" s="100">
        <v>0</v>
      </c>
      <c r="P179" s="96"/>
      <c r="Q179" s="95">
        <v>550865.84450000001</v>
      </c>
      <c r="R179" s="95">
        <f t="shared" si="8"/>
        <v>88046.219200000007</v>
      </c>
      <c r="S179" s="96"/>
      <c r="T179" s="95">
        <v>88046.219200000007</v>
      </c>
      <c r="U179" s="96"/>
      <c r="V179" s="96"/>
      <c r="W179" s="109"/>
      <c r="X179" s="96"/>
      <c r="Y179" s="9">
        <f>IFERROR(VLOOKUP(B179,'[1]2122 Veterans Count'!$J:$M,4,FALSE),0)</f>
        <v>2.3809523809523808E-2</v>
      </c>
      <c r="Z179" s="97">
        <f t="shared" si="7"/>
        <v>2096.3385523809525</v>
      </c>
    </row>
    <row r="180" spans="1:26" x14ac:dyDescent="0.25">
      <c r="A180" s="90" t="s">
        <v>48</v>
      </c>
      <c r="B180" s="91">
        <v>4100230295.7473998</v>
      </c>
      <c r="C180" s="90" t="s">
        <v>228</v>
      </c>
      <c r="D180" s="90" t="s">
        <v>50</v>
      </c>
      <c r="E180" s="90" t="s">
        <v>146</v>
      </c>
      <c r="F180" s="90" t="s">
        <v>171</v>
      </c>
      <c r="G180" s="93"/>
      <c r="H180" s="93"/>
      <c r="I180" s="93"/>
      <c r="J180" s="93"/>
      <c r="K180" s="95">
        <v>3987.51</v>
      </c>
      <c r="L180" s="96"/>
      <c r="M180" s="95">
        <f t="shared" si="6"/>
        <v>3987.51</v>
      </c>
      <c r="N180" s="95">
        <v>1781.6284000000001</v>
      </c>
      <c r="O180" s="95">
        <v>0</v>
      </c>
      <c r="P180" s="96"/>
      <c r="Q180" s="95">
        <v>810.86270000000002</v>
      </c>
      <c r="R180" s="95">
        <f t="shared" si="8"/>
        <v>1395.019</v>
      </c>
      <c r="S180" s="96"/>
      <c r="T180" s="95">
        <v>1395.019</v>
      </c>
      <c r="U180" s="96"/>
      <c r="V180" s="96"/>
      <c r="W180" s="109"/>
      <c r="X180" s="96"/>
      <c r="Y180" s="9">
        <f>IFERROR(VLOOKUP(B180,'[1]2122 Veterans Count'!$J:$M,4,FALSE),0)</f>
        <v>6.6666666666666666E-2</v>
      </c>
      <c r="Z180" s="97">
        <f t="shared" si="7"/>
        <v>93.001266666666666</v>
      </c>
    </row>
    <row r="181" spans="1:26" x14ac:dyDescent="0.25">
      <c r="A181" s="90" t="s">
        <v>48</v>
      </c>
      <c r="B181" s="91">
        <v>4100230336.7473998</v>
      </c>
      <c r="C181" s="90" t="s">
        <v>229</v>
      </c>
      <c r="D181" s="90" t="s">
        <v>50</v>
      </c>
      <c r="E181" s="90" t="s">
        <v>146</v>
      </c>
      <c r="F181" s="90" t="s">
        <v>171</v>
      </c>
      <c r="G181" s="93"/>
      <c r="H181" s="93"/>
      <c r="I181" s="93"/>
      <c r="J181" s="93"/>
      <c r="K181" s="95">
        <v>1428738.85</v>
      </c>
      <c r="L181" s="115"/>
      <c r="M181" s="95">
        <f t="shared" si="6"/>
        <v>1428738.85</v>
      </c>
      <c r="N181" s="95">
        <v>778391.75230000005</v>
      </c>
      <c r="O181" s="95">
        <v>0</v>
      </c>
      <c r="P181" s="96"/>
      <c r="Q181" s="95">
        <v>596510.76159999997</v>
      </c>
      <c r="R181" s="95">
        <f t="shared" si="8"/>
        <v>53836.3361</v>
      </c>
      <c r="S181" s="96"/>
      <c r="T181" s="95">
        <v>53836.3361</v>
      </c>
      <c r="U181" s="96"/>
      <c r="V181" s="96"/>
      <c r="W181" s="109"/>
      <c r="X181" s="96"/>
      <c r="Y181" s="9">
        <f>IFERROR(VLOOKUP(B181,'[1]2122 Veterans Count'!$J:$M,4,FALSE),0)</f>
        <v>0</v>
      </c>
      <c r="Z181" s="97">
        <f t="shared" si="7"/>
        <v>0</v>
      </c>
    </row>
    <row r="182" spans="1:26" x14ac:dyDescent="0.25">
      <c r="A182" s="90" t="s">
        <v>48</v>
      </c>
      <c r="B182" s="91">
        <v>4100230340.7473998</v>
      </c>
      <c r="C182" s="90" t="s">
        <v>230</v>
      </c>
      <c r="D182" s="90" t="s">
        <v>50</v>
      </c>
      <c r="E182" s="90" t="s">
        <v>146</v>
      </c>
      <c r="F182" s="90" t="s">
        <v>171</v>
      </c>
      <c r="G182" s="93"/>
      <c r="H182" s="93"/>
      <c r="I182" s="93"/>
      <c r="J182" s="93"/>
      <c r="K182" s="95">
        <v>238940.18</v>
      </c>
      <c r="L182" s="96"/>
      <c r="M182" s="95">
        <f t="shared" si="6"/>
        <v>238940.18</v>
      </c>
      <c r="N182" s="95">
        <v>110863.02069999999</v>
      </c>
      <c r="O182" s="95">
        <v>0</v>
      </c>
      <c r="P182" s="96"/>
      <c r="Q182" s="95">
        <v>86954.253500000006</v>
      </c>
      <c r="R182" s="95">
        <f t="shared" si="8"/>
        <v>41122.9058</v>
      </c>
      <c r="S182" s="96"/>
      <c r="T182" s="95">
        <v>41122.9058</v>
      </c>
      <c r="U182" s="96"/>
      <c r="V182" s="96"/>
      <c r="W182" s="109"/>
      <c r="X182" s="96"/>
      <c r="Y182" s="9">
        <f>IFERROR(VLOOKUP(B182,'[1]2122 Veterans Count'!$J:$M,4,FALSE),0)</f>
        <v>0</v>
      </c>
      <c r="Z182" s="97">
        <f t="shared" si="7"/>
        <v>0</v>
      </c>
    </row>
    <row r="183" spans="1:26" x14ac:dyDescent="0.25">
      <c r="A183" s="90" t="s">
        <v>48</v>
      </c>
      <c r="B183" s="91">
        <v>4100230347.7473998</v>
      </c>
      <c r="C183" s="90" t="s">
        <v>231</v>
      </c>
      <c r="D183" s="90" t="s">
        <v>50</v>
      </c>
      <c r="E183" s="90" t="s">
        <v>146</v>
      </c>
      <c r="F183" s="90" t="s">
        <v>171</v>
      </c>
      <c r="G183" s="93"/>
      <c r="H183" s="93"/>
      <c r="I183" s="93"/>
      <c r="J183" s="93"/>
      <c r="K183" s="95">
        <v>237098.4</v>
      </c>
      <c r="L183" s="115"/>
      <c r="M183" s="95">
        <f t="shared" si="6"/>
        <v>237098.4</v>
      </c>
      <c r="N183" s="100">
        <v>120319.7745</v>
      </c>
      <c r="O183" s="100">
        <v>0</v>
      </c>
      <c r="P183" s="96"/>
      <c r="Q183" s="95">
        <v>103032.84540000001</v>
      </c>
      <c r="R183" s="95">
        <f t="shared" si="8"/>
        <v>13745.7801</v>
      </c>
      <c r="S183" s="96"/>
      <c r="T183" s="95">
        <v>13745.7801</v>
      </c>
      <c r="U183" s="96"/>
      <c r="V183" s="96"/>
      <c r="W183" s="109"/>
      <c r="X183" s="96"/>
      <c r="Y183" s="9">
        <f>IFERROR(VLOOKUP(B183,'[1]2122 Veterans Count'!$J:$M,4,FALSE),0)</f>
        <v>0</v>
      </c>
      <c r="Z183" s="97">
        <f t="shared" si="7"/>
        <v>0</v>
      </c>
    </row>
    <row r="184" spans="1:26" x14ac:dyDescent="0.25">
      <c r="A184" s="90" t="s">
        <v>48</v>
      </c>
      <c r="B184" s="91">
        <v>4100230348.7473998</v>
      </c>
      <c r="C184" s="90" t="s">
        <v>232</v>
      </c>
      <c r="D184" s="90" t="s">
        <v>50</v>
      </c>
      <c r="E184" s="90" t="s">
        <v>146</v>
      </c>
      <c r="F184" s="90" t="s">
        <v>171</v>
      </c>
      <c r="G184" s="93"/>
      <c r="H184" s="93"/>
      <c r="I184" s="93"/>
      <c r="J184" s="93"/>
      <c r="K184" s="95">
        <v>8089.42</v>
      </c>
      <c r="L184" s="109"/>
      <c r="M184" s="95">
        <f t="shared" si="6"/>
        <v>8089.42</v>
      </c>
      <c r="N184" s="95">
        <v>886.53899999999999</v>
      </c>
      <c r="O184" s="100">
        <v>0</v>
      </c>
      <c r="P184" s="96"/>
      <c r="Q184" s="95">
        <v>7196.8939</v>
      </c>
      <c r="R184" s="95">
        <f t="shared" si="8"/>
        <v>5.9870999999999999</v>
      </c>
      <c r="S184" s="96"/>
      <c r="T184" s="95">
        <v>5.9870999999999999</v>
      </c>
      <c r="U184" s="96"/>
      <c r="V184" s="96"/>
      <c r="W184" s="109"/>
      <c r="X184" s="96"/>
      <c r="Y184" s="9">
        <f>IFERROR(VLOOKUP(B184,'[1]2122 Veterans Count'!$J:$M,4,FALSE),0)</f>
        <v>0</v>
      </c>
      <c r="Z184" s="97">
        <f t="shared" si="7"/>
        <v>0</v>
      </c>
    </row>
    <row r="185" spans="1:26" x14ac:dyDescent="0.25">
      <c r="A185" s="90" t="s">
        <v>48</v>
      </c>
      <c r="B185" s="91">
        <v>4100230353.7473998</v>
      </c>
      <c r="C185" s="90" t="s">
        <v>233</v>
      </c>
      <c r="D185" s="90" t="s">
        <v>50</v>
      </c>
      <c r="E185" s="90" t="s">
        <v>146</v>
      </c>
      <c r="F185" s="90" t="s">
        <v>171</v>
      </c>
      <c r="G185" s="93"/>
      <c r="H185" s="93"/>
      <c r="I185" s="93"/>
      <c r="J185" s="93"/>
      <c r="K185" s="95">
        <v>227517.5</v>
      </c>
      <c r="L185" s="109"/>
      <c r="M185" s="95">
        <f t="shared" si="6"/>
        <v>227517.5</v>
      </c>
      <c r="N185" s="95">
        <v>123705.86010000001</v>
      </c>
      <c r="O185" s="95">
        <v>0</v>
      </c>
      <c r="P185" s="96"/>
      <c r="Q185" s="95">
        <v>102979.1419</v>
      </c>
      <c r="R185" s="95">
        <f t="shared" si="8"/>
        <v>832.49800000000005</v>
      </c>
      <c r="S185" s="96"/>
      <c r="T185" s="95">
        <v>832.49800000000005</v>
      </c>
      <c r="U185" s="96"/>
      <c r="V185" s="96"/>
      <c r="W185" s="109"/>
      <c r="X185" s="96"/>
      <c r="Y185" s="9">
        <f>IFERROR(VLOOKUP(B185,'[1]2122 Veterans Count'!$J:$M,4,FALSE),0)</f>
        <v>0</v>
      </c>
      <c r="Z185" s="97">
        <f t="shared" si="7"/>
        <v>0</v>
      </c>
    </row>
    <row r="186" spans="1:26" x14ac:dyDescent="0.25">
      <c r="A186" s="90" t="s">
        <v>48</v>
      </c>
      <c r="B186" s="91">
        <v>4100230366.7473998</v>
      </c>
      <c r="C186" s="90" t="s">
        <v>234</v>
      </c>
      <c r="D186" s="90" t="s">
        <v>50</v>
      </c>
      <c r="E186" s="90" t="s">
        <v>146</v>
      </c>
      <c r="F186" s="90" t="s">
        <v>171</v>
      </c>
      <c r="G186" s="93"/>
      <c r="H186" s="93"/>
      <c r="I186" s="93"/>
      <c r="J186" s="93"/>
      <c r="K186" s="95">
        <v>547431.86</v>
      </c>
      <c r="L186" s="96"/>
      <c r="M186" s="95">
        <f t="shared" ref="M186:M249" si="9">+K186+L186</f>
        <v>547431.86</v>
      </c>
      <c r="N186" s="95">
        <v>140500.25750000001</v>
      </c>
      <c r="O186" s="95">
        <v>0</v>
      </c>
      <c r="P186" s="96"/>
      <c r="Q186" s="95">
        <v>400883.07030000002</v>
      </c>
      <c r="R186" s="95">
        <f t="shared" si="8"/>
        <v>6048.5321999999996</v>
      </c>
      <c r="S186" s="96"/>
      <c r="T186" s="95">
        <v>6048.5321999999996</v>
      </c>
      <c r="U186" s="96"/>
      <c r="V186" s="96"/>
      <c r="W186" s="109"/>
      <c r="X186" s="96"/>
      <c r="Y186" s="9">
        <f>IFERROR(VLOOKUP(B186,'[1]2122 Veterans Count'!$J:$M,4,FALSE),0)</f>
        <v>0</v>
      </c>
      <c r="Z186" s="97">
        <f t="shared" si="7"/>
        <v>0</v>
      </c>
    </row>
    <row r="187" spans="1:26" x14ac:dyDescent="0.25">
      <c r="A187" s="90" t="s">
        <v>48</v>
      </c>
      <c r="B187" s="91">
        <v>4100230370.7473998</v>
      </c>
      <c r="C187" s="90" t="s">
        <v>235</v>
      </c>
      <c r="D187" s="90" t="s">
        <v>50</v>
      </c>
      <c r="E187" s="90" t="s">
        <v>146</v>
      </c>
      <c r="F187" s="90" t="s">
        <v>171</v>
      </c>
      <c r="G187" s="93"/>
      <c r="H187" s="93"/>
      <c r="I187" s="93"/>
      <c r="J187" s="93"/>
      <c r="K187" s="95">
        <v>386250.62</v>
      </c>
      <c r="L187" s="96"/>
      <c r="M187" s="95">
        <f t="shared" si="9"/>
        <v>386250.62</v>
      </c>
      <c r="N187" s="95">
        <v>216636.28419999999</v>
      </c>
      <c r="O187" s="95">
        <v>0</v>
      </c>
      <c r="P187" s="96"/>
      <c r="Q187" s="95">
        <v>156423.427</v>
      </c>
      <c r="R187" s="95">
        <f t="shared" si="8"/>
        <v>13190.908799999999</v>
      </c>
      <c r="S187" s="96"/>
      <c r="T187" s="95">
        <v>13190.908799999999</v>
      </c>
      <c r="U187" s="96"/>
      <c r="V187" s="96"/>
      <c r="W187" s="109"/>
      <c r="X187" s="96"/>
      <c r="Y187" s="9">
        <f>IFERROR(VLOOKUP(B187,'[1]2122 Veterans Count'!$J:$M,4,FALSE),0)</f>
        <v>0</v>
      </c>
      <c r="Z187" s="97">
        <f t="shared" si="7"/>
        <v>0</v>
      </c>
    </row>
    <row r="188" spans="1:26" x14ac:dyDescent="0.25">
      <c r="A188" s="90" t="s">
        <v>48</v>
      </c>
      <c r="B188" s="91">
        <v>4100230792.7473998</v>
      </c>
      <c r="C188" s="90" t="s">
        <v>200</v>
      </c>
      <c r="D188" s="90" t="s">
        <v>50</v>
      </c>
      <c r="E188" s="90" t="s">
        <v>146</v>
      </c>
      <c r="F188" s="90" t="s">
        <v>171</v>
      </c>
      <c r="G188" s="93"/>
      <c r="H188" s="93"/>
      <c r="I188" s="93"/>
      <c r="J188" s="93"/>
      <c r="K188" s="95">
        <v>1912171.73</v>
      </c>
      <c r="L188" s="115"/>
      <c r="M188" s="95">
        <f t="shared" si="9"/>
        <v>1912171.73</v>
      </c>
      <c r="N188" s="100">
        <v>1089538.6913000001</v>
      </c>
      <c r="O188" s="100">
        <v>0</v>
      </c>
      <c r="P188" s="96"/>
      <c r="Q188" s="100">
        <v>799899.50930000003</v>
      </c>
      <c r="R188" s="95">
        <f t="shared" si="8"/>
        <v>22733.529399999999</v>
      </c>
      <c r="S188" s="96"/>
      <c r="T188" s="95">
        <v>22733.529399999999</v>
      </c>
      <c r="U188" s="96"/>
      <c r="V188" s="96"/>
      <c r="W188" s="109"/>
      <c r="X188" s="96"/>
      <c r="Y188" s="9">
        <f>IFERROR(VLOOKUP(B188,'[1]2122 Veterans Count'!$J:$M,4,FALSE),0)</f>
        <v>0</v>
      </c>
      <c r="Z188" s="97">
        <f t="shared" si="7"/>
        <v>0</v>
      </c>
    </row>
    <row r="189" spans="1:26" x14ac:dyDescent="0.25">
      <c r="A189" s="90" t="s">
        <v>48</v>
      </c>
      <c r="B189" s="91">
        <v>4100202294.7470002</v>
      </c>
      <c r="C189" s="90" t="s">
        <v>236</v>
      </c>
      <c r="D189" s="90" t="s">
        <v>50</v>
      </c>
      <c r="E189" s="90" t="s">
        <v>146</v>
      </c>
      <c r="F189" s="28" t="s">
        <v>105</v>
      </c>
      <c r="G189" s="93"/>
      <c r="H189" s="93"/>
      <c r="I189" s="93"/>
      <c r="J189" s="93"/>
      <c r="K189" s="95">
        <v>4236551.43</v>
      </c>
      <c r="L189" s="115"/>
      <c r="M189" s="95">
        <f t="shared" si="9"/>
        <v>4236551.43</v>
      </c>
      <c r="N189" s="95">
        <v>1169322.7311</v>
      </c>
      <c r="O189" s="95">
        <v>0</v>
      </c>
      <c r="P189" s="96"/>
      <c r="Q189" s="95">
        <v>425129.98200000002</v>
      </c>
      <c r="R189" s="95">
        <f t="shared" si="8"/>
        <v>2642098.7168999999</v>
      </c>
      <c r="S189" s="96"/>
      <c r="T189" s="95">
        <v>2642098.7168999999</v>
      </c>
      <c r="U189" s="96"/>
      <c r="V189" s="96"/>
      <c r="W189" s="96"/>
      <c r="X189" s="96"/>
      <c r="Y189" s="9">
        <f>IFERROR(VLOOKUP(B189,'[1]2122 Veterans Count'!$J:$M,4,FALSE),0)</f>
        <v>1.9855595667870037E-2</v>
      </c>
      <c r="Z189" s="97">
        <f t="shared" si="7"/>
        <v>52460.443837364619</v>
      </c>
    </row>
    <row r="190" spans="1:26" x14ac:dyDescent="0.25">
      <c r="A190" s="90" t="s">
        <v>48</v>
      </c>
      <c r="B190" s="91">
        <v>4100206214.7470002</v>
      </c>
      <c r="C190" s="90" t="s">
        <v>237</v>
      </c>
      <c r="D190" s="90" t="s">
        <v>50</v>
      </c>
      <c r="E190" s="90" t="s">
        <v>146</v>
      </c>
      <c r="F190" s="90" t="s">
        <v>105</v>
      </c>
      <c r="G190" s="93"/>
      <c r="H190" s="93"/>
      <c r="I190" s="93"/>
      <c r="J190" s="93"/>
      <c r="K190" s="95">
        <v>2473583.84</v>
      </c>
      <c r="L190" s="109"/>
      <c r="M190" s="95">
        <f t="shared" si="9"/>
        <v>2473583.84</v>
      </c>
      <c r="N190" s="95">
        <v>1583055.0104</v>
      </c>
      <c r="O190" s="95">
        <v>0</v>
      </c>
      <c r="P190" s="96"/>
      <c r="Q190" s="95">
        <v>430992.28320000001</v>
      </c>
      <c r="R190" s="95">
        <f t="shared" si="8"/>
        <v>459536.54639999999</v>
      </c>
      <c r="S190" s="96"/>
      <c r="T190" s="95">
        <v>459536.54639999999</v>
      </c>
      <c r="U190" s="96"/>
      <c r="V190" s="96"/>
      <c r="W190" s="96"/>
      <c r="X190" s="96"/>
      <c r="Y190" s="9">
        <f>IFERROR(VLOOKUP(B190,'[1]2122 Veterans Count'!$J:$M,4,FALSE),0)</f>
        <v>0</v>
      </c>
      <c r="Z190" s="97">
        <f t="shared" si="7"/>
        <v>0</v>
      </c>
    </row>
    <row r="191" spans="1:26" x14ac:dyDescent="0.25">
      <c r="A191" s="90" t="s">
        <v>48</v>
      </c>
      <c r="B191" s="91">
        <v>4100206335.7470002</v>
      </c>
      <c r="C191" s="90" t="s">
        <v>238</v>
      </c>
      <c r="D191" s="90" t="s">
        <v>50</v>
      </c>
      <c r="E191" s="90" t="s">
        <v>146</v>
      </c>
      <c r="F191" s="90" t="s">
        <v>105</v>
      </c>
      <c r="G191" s="93"/>
      <c r="H191" s="93"/>
      <c r="I191" s="93"/>
      <c r="J191" s="93"/>
      <c r="K191" s="95">
        <v>1188802.52</v>
      </c>
      <c r="L191" s="96"/>
      <c r="M191" s="95">
        <f t="shared" si="9"/>
        <v>1188802.52</v>
      </c>
      <c r="N191" s="95">
        <v>447950.47169999999</v>
      </c>
      <c r="O191" s="95">
        <v>0</v>
      </c>
      <c r="P191" s="96"/>
      <c r="Q191" s="95">
        <v>218555.89559999999</v>
      </c>
      <c r="R191" s="95">
        <f t="shared" si="8"/>
        <v>522296.15269999998</v>
      </c>
      <c r="S191" s="96"/>
      <c r="T191" s="95">
        <v>522296.15269999998</v>
      </c>
      <c r="U191" s="96"/>
      <c r="V191" s="96"/>
      <c r="W191" s="96"/>
      <c r="X191" s="96"/>
      <c r="Y191" s="9">
        <f>IFERROR(VLOOKUP(B191,'[1]2122 Veterans Count'!$J:$M,4,FALSE),0)</f>
        <v>0</v>
      </c>
      <c r="Z191" s="97">
        <f t="shared" si="7"/>
        <v>0</v>
      </c>
    </row>
    <row r="192" spans="1:26" x14ac:dyDescent="0.25">
      <c r="A192" s="90" t="s">
        <v>48</v>
      </c>
      <c r="B192" s="91">
        <v>4100206349.7470002</v>
      </c>
      <c r="C192" s="90" t="s">
        <v>239</v>
      </c>
      <c r="D192" s="90" t="s">
        <v>50</v>
      </c>
      <c r="E192" s="90" t="s">
        <v>146</v>
      </c>
      <c r="F192" s="90" t="s">
        <v>105</v>
      </c>
      <c r="G192" s="93"/>
      <c r="H192" s="93"/>
      <c r="I192" s="93"/>
      <c r="J192" s="93"/>
      <c r="K192" s="95">
        <v>1338251.1399999999</v>
      </c>
      <c r="L192" s="109"/>
      <c r="M192" s="95">
        <f t="shared" si="9"/>
        <v>1338251.1399999999</v>
      </c>
      <c r="N192" s="95">
        <v>932615.18640000001</v>
      </c>
      <c r="O192" s="95">
        <v>0</v>
      </c>
      <c r="P192" s="96"/>
      <c r="Q192" s="95">
        <v>177358.32060000001</v>
      </c>
      <c r="R192" s="95">
        <f t="shared" si="8"/>
        <v>228277.63310000001</v>
      </c>
      <c r="S192" s="96"/>
      <c r="T192" s="95">
        <v>228277.63310000001</v>
      </c>
      <c r="U192" s="96"/>
      <c r="V192" s="96"/>
      <c r="W192" s="96"/>
      <c r="X192" s="96"/>
      <c r="Y192" s="9">
        <f>IFERROR(VLOOKUP(B192,'[1]2122 Veterans Count'!$J:$M,4,FALSE),0)</f>
        <v>9.5693779904306216E-3</v>
      </c>
      <c r="Z192" s="97">
        <f t="shared" si="7"/>
        <v>2184.4749578947367</v>
      </c>
    </row>
    <row r="193" spans="1:26" x14ac:dyDescent="0.25">
      <c r="A193" s="90" t="s">
        <v>48</v>
      </c>
      <c r="B193" s="91">
        <v>4100206747.7470002</v>
      </c>
      <c r="C193" s="90" t="s">
        <v>240</v>
      </c>
      <c r="D193" s="90" t="s">
        <v>50</v>
      </c>
      <c r="E193" s="90" t="s">
        <v>146</v>
      </c>
      <c r="F193" s="90" t="s">
        <v>105</v>
      </c>
      <c r="G193" s="93"/>
      <c r="H193" s="93"/>
      <c r="I193" s="93"/>
      <c r="J193" s="93"/>
      <c r="K193" s="95">
        <v>2835769.75</v>
      </c>
      <c r="L193" s="96"/>
      <c r="M193" s="95">
        <f t="shared" si="9"/>
        <v>2835769.75</v>
      </c>
      <c r="N193" s="95">
        <v>1105937.1705</v>
      </c>
      <c r="O193" s="95">
        <v>0</v>
      </c>
      <c r="P193" s="96"/>
      <c r="Q193" s="95">
        <v>179113.85870000001</v>
      </c>
      <c r="R193" s="95">
        <f t="shared" si="8"/>
        <v>1550718.7208</v>
      </c>
      <c r="S193" s="96"/>
      <c r="T193" s="95">
        <v>1550718.7208</v>
      </c>
      <c r="U193" s="96"/>
      <c r="V193" s="96"/>
      <c r="W193" s="96"/>
      <c r="X193" s="96"/>
      <c r="Y193" s="9">
        <f>IFERROR(VLOOKUP(B193,'[1]2122 Veterans Count'!$J:$M,4,FALSE),0)</f>
        <v>0</v>
      </c>
      <c r="Z193" s="97">
        <f t="shared" si="7"/>
        <v>0</v>
      </c>
    </row>
    <row r="194" spans="1:26" x14ac:dyDescent="0.25">
      <c r="A194" s="90" t="s">
        <v>48</v>
      </c>
      <c r="B194" s="91">
        <v>4100206748.7470002</v>
      </c>
      <c r="C194" s="90" t="s">
        <v>241</v>
      </c>
      <c r="D194" s="90" t="s">
        <v>50</v>
      </c>
      <c r="E194" s="90" t="s">
        <v>146</v>
      </c>
      <c r="F194" s="90" t="s">
        <v>105</v>
      </c>
      <c r="G194" s="93"/>
      <c r="H194" s="93"/>
      <c r="I194" s="93"/>
      <c r="J194" s="93"/>
      <c r="K194" s="95">
        <v>3496500</v>
      </c>
      <c r="L194" s="109"/>
      <c r="M194" s="95">
        <f t="shared" si="9"/>
        <v>3496500</v>
      </c>
      <c r="N194" s="95">
        <v>2189294.6612</v>
      </c>
      <c r="O194" s="95">
        <v>0</v>
      </c>
      <c r="P194" s="96"/>
      <c r="Q194" s="95">
        <v>503490.18310000002</v>
      </c>
      <c r="R194" s="95">
        <f t="shared" si="8"/>
        <v>803715.1557</v>
      </c>
      <c r="S194" s="96"/>
      <c r="T194" s="95">
        <v>803715.1557</v>
      </c>
      <c r="U194" s="96"/>
      <c r="V194" s="96"/>
      <c r="W194" s="96"/>
      <c r="X194" s="96"/>
      <c r="Y194" s="9">
        <f>IFERROR(VLOOKUP(B194,'[1]2122 Veterans Count'!$J:$M,4,FALSE),0)</f>
        <v>0</v>
      </c>
      <c r="Z194" s="97">
        <f t="shared" si="7"/>
        <v>0</v>
      </c>
    </row>
    <row r="195" spans="1:26" x14ac:dyDescent="0.25">
      <c r="A195" s="90" t="s">
        <v>48</v>
      </c>
      <c r="B195" s="91">
        <v>4100206749.7470002</v>
      </c>
      <c r="C195" s="90" t="s">
        <v>242</v>
      </c>
      <c r="D195" s="90" t="s">
        <v>50</v>
      </c>
      <c r="E195" s="90" t="s">
        <v>146</v>
      </c>
      <c r="F195" s="90" t="s">
        <v>105</v>
      </c>
      <c r="G195" s="93"/>
      <c r="H195" s="93"/>
      <c r="I195" s="93"/>
      <c r="J195" s="93"/>
      <c r="K195" s="95">
        <v>3648957.38</v>
      </c>
      <c r="L195" s="96"/>
      <c r="M195" s="95">
        <f t="shared" si="9"/>
        <v>3648957.38</v>
      </c>
      <c r="N195" s="95">
        <v>1393337.5197999999</v>
      </c>
      <c r="O195" s="95">
        <v>0</v>
      </c>
      <c r="P195" s="109"/>
      <c r="Q195" s="95">
        <v>1308546.8547</v>
      </c>
      <c r="R195" s="95">
        <f t="shared" si="8"/>
        <v>947073.00560000003</v>
      </c>
      <c r="S195" s="96"/>
      <c r="T195" s="95">
        <v>947073.00560000003</v>
      </c>
      <c r="U195" s="96"/>
      <c r="V195" s="96"/>
      <c r="W195" s="96"/>
      <c r="X195" s="96"/>
      <c r="Y195" s="9">
        <f>IFERROR(VLOOKUP(B195,'[1]2122 Veterans Count'!$J:$M,4,FALSE),0)</f>
        <v>0</v>
      </c>
      <c r="Z195" s="97">
        <f t="shared" si="7"/>
        <v>0</v>
      </c>
    </row>
    <row r="196" spans="1:26" x14ac:dyDescent="0.25">
      <c r="A196" s="90" t="s">
        <v>48</v>
      </c>
      <c r="B196" s="91">
        <v>4100206969.7470002</v>
      </c>
      <c r="C196" s="90" t="s">
        <v>243</v>
      </c>
      <c r="D196" s="90" t="s">
        <v>50</v>
      </c>
      <c r="E196" s="90" t="s">
        <v>146</v>
      </c>
      <c r="F196" s="90" t="s">
        <v>105</v>
      </c>
      <c r="G196" s="93"/>
      <c r="H196" s="93"/>
      <c r="I196" s="93"/>
      <c r="J196" s="93"/>
      <c r="K196" s="95">
        <v>145616.94219999999</v>
      </c>
      <c r="L196" s="100">
        <v>47608.689299999998</v>
      </c>
      <c r="M196" s="95">
        <f t="shared" si="9"/>
        <v>193225.63149999999</v>
      </c>
      <c r="N196" s="95">
        <v>16859.5144</v>
      </c>
      <c r="O196" s="95">
        <v>137.99</v>
      </c>
      <c r="P196" s="96"/>
      <c r="Q196" s="95">
        <v>8200.8917999999994</v>
      </c>
      <c r="R196" s="95">
        <f t="shared" si="8"/>
        <v>168027.2353</v>
      </c>
      <c r="S196" s="96"/>
      <c r="T196" s="95">
        <v>168027.2353</v>
      </c>
      <c r="U196" s="96"/>
      <c r="V196" s="96"/>
      <c r="W196" s="96"/>
      <c r="X196" s="96"/>
      <c r="Y196" s="9">
        <f>IFERROR(VLOOKUP(B196,'[1]2122 Veterans Count'!$J:$M,4,FALSE),0)</f>
        <v>6.6666666666666666E-2</v>
      </c>
      <c r="Z196" s="97">
        <f t="shared" si="7"/>
        <v>11201.815686666667</v>
      </c>
    </row>
    <row r="197" spans="1:26" x14ac:dyDescent="0.25">
      <c r="A197" s="90" t="s">
        <v>48</v>
      </c>
      <c r="B197" s="91">
        <v>4100206979.7470002</v>
      </c>
      <c r="C197" s="90" t="s">
        <v>244</v>
      </c>
      <c r="D197" s="90" t="s">
        <v>50</v>
      </c>
      <c r="E197" s="90" t="s">
        <v>146</v>
      </c>
      <c r="F197" s="90" t="s">
        <v>105</v>
      </c>
      <c r="G197" s="93"/>
      <c r="H197" s="93"/>
      <c r="I197" s="93"/>
      <c r="J197" s="93"/>
      <c r="K197" s="95">
        <v>702835.43</v>
      </c>
      <c r="L197" s="96"/>
      <c r="M197" s="95">
        <f t="shared" si="9"/>
        <v>702835.43</v>
      </c>
      <c r="N197" s="95">
        <v>332945.94660000002</v>
      </c>
      <c r="O197" s="95">
        <v>0</v>
      </c>
      <c r="P197" s="96"/>
      <c r="Q197" s="95">
        <v>207803.21220000001</v>
      </c>
      <c r="R197" s="95">
        <f t="shared" si="8"/>
        <v>162086.27119999999</v>
      </c>
      <c r="S197" s="96"/>
      <c r="T197" s="95">
        <v>162086.27119999999</v>
      </c>
      <c r="U197" s="96"/>
      <c r="V197" s="96"/>
      <c r="W197" s="96"/>
      <c r="X197" s="96"/>
      <c r="Y197" s="9">
        <f>IFERROR(VLOOKUP(B197,'[1]2122 Veterans Count'!$J:$M,4,FALSE),0)</f>
        <v>0</v>
      </c>
      <c r="Z197" s="97">
        <f t="shared" si="7"/>
        <v>0</v>
      </c>
    </row>
    <row r="198" spans="1:26" x14ac:dyDescent="0.25">
      <c r="A198" s="90" t="s">
        <v>48</v>
      </c>
      <c r="B198" s="91">
        <v>4100207225.7473998</v>
      </c>
      <c r="C198" s="90" t="s">
        <v>245</v>
      </c>
      <c r="D198" s="90" t="s">
        <v>50</v>
      </c>
      <c r="E198" s="90" t="s">
        <v>146</v>
      </c>
      <c r="F198" s="90" t="s">
        <v>105</v>
      </c>
      <c r="G198" s="93"/>
      <c r="H198" s="93"/>
      <c r="I198" s="93"/>
      <c r="J198" s="93"/>
      <c r="K198" s="95">
        <v>38108.910000000003</v>
      </c>
      <c r="L198" s="96"/>
      <c r="M198" s="95">
        <f t="shared" si="9"/>
        <v>38108.910000000003</v>
      </c>
      <c r="N198" s="95">
        <v>19158.629000000001</v>
      </c>
      <c r="O198" s="95">
        <v>0</v>
      </c>
      <c r="P198" s="96"/>
      <c r="Q198" s="95">
        <v>15133.186600000001</v>
      </c>
      <c r="R198" s="95">
        <f t="shared" si="8"/>
        <v>3817.0944</v>
      </c>
      <c r="S198" s="96"/>
      <c r="T198" s="95">
        <v>3817.0944</v>
      </c>
      <c r="U198" s="96"/>
      <c r="V198" s="96"/>
      <c r="W198" s="96"/>
      <c r="X198" s="96"/>
      <c r="Y198" s="9">
        <f>IFERROR(VLOOKUP(B198,'[1]2122 Veterans Count'!$J:$M,4,FALSE),0)</f>
        <v>0</v>
      </c>
      <c r="Z198" s="97">
        <f t="shared" si="7"/>
        <v>0</v>
      </c>
    </row>
    <row r="199" spans="1:26" x14ac:dyDescent="0.25">
      <c r="A199" s="90" t="s">
        <v>48</v>
      </c>
      <c r="B199" s="91">
        <v>4100207371.7473998</v>
      </c>
      <c r="C199" s="90" t="s">
        <v>246</v>
      </c>
      <c r="D199" s="90" t="s">
        <v>50</v>
      </c>
      <c r="E199" s="90" t="s">
        <v>146</v>
      </c>
      <c r="F199" s="90" t="s">
        <v>105</v>
      </c>
      <c r="G199" s="93"/>
      <c r="H199" s="93"/>
      <c r="I199" s="93"/>
      <c r="J199" s="93"/>
      <c r="K199" s="95">
        <v>278361.34999999998</v>
      </c>
      <c r="L199" s="109"/>
      <c r="M199" s="95">
        <f t="shared" si="9"/>
        <v>278361.34999999998</v>
      </c>
      <c r="N199" s="95">
        <v>151047.32079999999</v>
      </c>
      <c r="O199" s="95">
        <v>0</v>
      </c>
      <c r="P199" s="96"/>
      <c r="Q199" s="95">
        <v>123258.55809999999</v>
      </c>
      <c r="R199" s="95">
        <f t="shared" si="8"/>
        <v>4055.4711000000002</v>
      </c>
      <c r="S199" s="96"/>
      <c r="T199" s="95">
        <v>4055.4711000000002</v>
      </c>
      <c r="U199" s="96"/>
      <c r="V199" s="96"/>
      <c r="W199" s="96"/>
      <c r="X199" s="96"/>
      <c r="Y199" s="9">
        <f>IFERROR(VLOOKUP(B199,'[1]2122 Veterans Count'!$J:$M,4,FALSE),0)</f>
        <v>0</v>
      </c>
      <c r="Z199" s="97">
        <f t="shared" si="7"/>
        <v>0</v>
      </c>
    </row>
    <row r="200" spans="1:26" x14ac:dyDescent="0.25">
      <c r="A200" s="90" t="s">
        <v>48</v>
      </c>
      <c r="B200" s="91">
        <v>4100207373.7473998</v>
      </c>
      <c r="C200" s="90" t="s">
        <v>247</v>
      </c>
      <c r="D200" s="90" t="s">
        <v>50</v>
      </c>
      <c r="E200" s="90" t="s">
        <v>146</v>
      </c>
      <c r="F200" s="90" t="s">
        <v>105</v>
      </c>
      <c r="G200" s="93"/>
      <c r="H200" s="93"/>
      <c r="I200" s="93"/>
      <c r="J200" s="93"/>
      <c r="K200" s="95">
        <v>250719.9</v>
      </c>
      <c r="L200" s="115"/>
      <c r="M200" s="95">
        <f t="shared" si="9"/>
        <v>250719.9</v>
      </c>
      <c r="N200" s="100">
        <v>139622.61420000001</v>
      </c>
      <c r="O200" s="95">
        <v>0</v>
      </c>
      <c r="P200" s="96"/>
      <c r="Q200" s="95">
        <v>110037.8561</v>
      </c>
      <c r="R200" s="95">
        <f t="shared" si="8"/>
        <v>1059.4296999999999</v>
      </c>
      <c r="S200" s="96"/>
      <c r="T200" s="95">
        <v>1059.4296999999999</v>
      </c>
      <c r="U200" s="96"/>
      <c r="V200" s="96"/>
      <c r="W200" s="96"/>
      <c r="X200" s="96"/>
      <c r="Y200" s="9">
        <f>IFERROR(VLOOKUP(B200,'[1]2122 Veterans Count'!$J:$M,4,FALSE),0)</f>
        <v>0</v>
      </c>
      <c r="Z200" s="97">
        <f t="shared" si="7"/>
        <v>0</v>
      </c>
    </row>
    <row r="201" spans="1:26" x14ac:dyDescent="0.25">
      <c r="A201" s="90" t="s">
        <v>48</v>
      </c>
      <c r="B201" s="91">
        <v>4100209825.7470002</v>
      </c>
      <c r="C201" s="90" t="s">
        <v>248</v>
      </c>
      <c r="D201" s="90" t="s">
        <v>50</v>
      </c>
      <c r="E201" s="90" t="s">
        <v>146</v>
      </c>
      <c r="F201" s="90" t="s">
        <v>121</v>
      </c>
      <c r="G201" s="93"/>
      <c r="H201" s="93"/>
      <c r="I201" s="93"/>
      <c r="J201" s="93"/>
      <c r="K201" s="95">
        <v>2589434.6924000001</v>
      </c>
      <c r="L201" s="95">
        <v>482298.07500000001</v>
      </c>
      <c r="M201" s="95">
        <f t="shared" si="9"/>
        <v>3071732.7674000002</v>
      </c>
      <c r="N201" s="100">
        <v>315303.97149999999</v>
      </c>
      <c r="O201" s="95">
        <v>209.73</v>
      </c>
      <c r="P201" s="96"/>
      <c r="Q201" s="95">
        <v>2599899.9265000001</v>
      </c>
      <c r="R201" s="95">
        <f t="shared" si="8"/>
        <v>156319.13939999999</v>
      </c>
      <c r="S201" s="96"/>
      <c r="T201" s="95">
        <v>156319.13939999999</v>
      </c>
      <c r="U201" s="96"/>
      <c r="V201" s="96"/>
      <c r="W201" s="96"/>
      <c r="X201" s="96"/>
      <c r="Y201" s="9">
        <f>IFERROR(VLOOKUP(B201,'[1]2122 Veterans Count'!$J:$M,4,FALSE),0)</f>
        <v>0.14814814814814814</v>
      </c>
      <c r="Z201" s="97">
        <f t="shared" si="7"/>
        <v>23158.391022222218</v>
      </c>
    </row>
    <row r="202" spans="1:26" x14ac:dyDescent="0.25">
      <c r="A202" s="90" t="s">
        <v>48</v>
      </c>
      <c r="B202" s="91">
        <v>4100209943.7470002</v>
      </c>
      <c r="C202" s="90" t="s">
        <v>249</v>
      </c>
      <c r="D202" s="90" t="s">
        <v>50</v>
      </c>
      <c r="E202" s="90" t="s">
        <v>146</v>
      </c>
      <c r="F202" s="90" t="s">
        <v>121</v>
      </c>
      <c r="G202" s="93"/>
      <c r="H202" s="93"/>
      <c r="I202" s="93"/>
      <c r="J202" s="93"/>
      <c r="K202" s="95">
        <v>144661.05220000001</v>
      </c>
      <c r="L202" s="95">
        <v>27760.420600000001</v>
      </c>
      <c r="M202" s="95">
        <f t="shared" si="9"/>
        <v>172421.47280000002</v>
      </c>
      <c r="N202" s="100">
        <v>144.9365</v>
      </c>
      <c r="O202" s="95">
        <v>0</v>
      </c>
      <c r="P202" s="96"/>
      <c r="Q202" s="95">
        <v>227.1713</v>
      </c>
      <c r="R202" s="95">
        <f t="shared" si="8"/>
        <v>172049.36499999999</v>
      </c>
      <c r="S202" s="96"/>
      <c r="T202" s="95">
        <v>172049.36499999999</v>
      </c>
      <c r="U202" s="96"/>
      <c r="V202" s="96"/>
      <c r="W202" s="96"/>
      <c r="X202" s="96"/>
      <c r="Y202" s="9">
        <f>IFERROR(VLOOKUP(B202,'[1]2122 Veterans Count'!$J:$M,4,FALSE),0)</f>
        <v>0</v>
      </c>
      <c r="Z202" s="97">
        <f t="shared" si="7"/>
        <v>0</v>
      </c>
    </row>
    <row r="203" spans="1:26" x14ac:dyDescent="0.25">
      <c r="A203" s="90" t="s">
        <v>48</v>
      </c>
      <c r="B203" s="91">
        <v>4100312564.8365002</v>
      </c>
      <c r="C203" s="90" t="s">
        <v>250</v>
      </c>
      <c r="D203" s="90" t="s">
        <v>50</v>
      </c>
      <c r="E203" s="90" t="s">
        <v>146</v>
      </c>
      <c r="F203" s="90" t="s">
        <v>121</v>
      </c>
      <c r="G203" s="93"/>
      <c r="H203" s="93"/>
      <c r="I203" s="93"/>
      <c r="J203" s="93"/>
      <c r="K203" s="95">
        <v>2380591.0265000002</v>
      </c>
      <c r="L203" s="95">
        <v>545076.39540000004</v>
      </c>
      <c r="M203" s="95">
        <f t="shared" si="9"/>
        <v>2925667.4219000004</v>
      </c>
      <c r="N203" s="96"/>
      <c r="O203" s="95">
        <v>0</v>
      </c>
      <c r="P203" s="96"/>
      <c r="Q203" s="95">
        <v>2807353.5282000001</v>
      </c>
      <c r="R203" s="95">
        <f t="shared" si="8"/>
        <v>118313.8937</v>
      </c>
      <c r="S203" s="96"/>
      <c r="T203" s="95">
        <v>118313.8937</v>
      </c>
      <c r="U203" s="96"/>
      <c r="V203" s="96"/>
      <c r="W203" s="109"/>
      <c r="X203" s="96"/>
      <c r="Y203" s="9">
        <f>IFERROR(VLOOKUP(B203,'[1]2122 Veterans Count'!$J:$M,4,FALSE),0)</f>
        <v>0</v>
      </c>
      <c r="Z203" s="97">
        <f t="shared" si="7"/>
        <v>0</v>
      </c>
    </row>
    <row r="204" spans="1:26" x14ac:dyDescent="0.25">
      <c r="A204" s="90" t="s">
        <v>48</v>
      </c>
      <c r="B204" s="91">
        <v>4100312647.8365002</v>
      </c>
      <c r="C204" s="90" t="s">
        <v>251</v>
      </c>
      <c r="D204" s="90" t="s">
        <v>50</v>
      </c>
      <c r="E204" s="90" t="s">
        <v>146</v>
      </c>
      <c r="F204" s="90" t="s">
        <v>121</v>
      </c>
      <c r="G204" s="93"/>
      <c r="H204" s="93"/>
      <c r="I204" s="93"/>
      <c r="J204" s="93"/>
      <c r="K204" s="95">
        <v>2622500.9171000002</v>
      </c>
      <c r="L204" s="95">
        <v>613989.06059999997</v>
      </c>
      <c r="M204" s="95">
        <f t="shared" si="9"/>
        <v>3236489.9777000002</v>
      </c>
      <c r="N204" s="96"/>
      <c r="O204" s="95">
        <v>0</v>
      </c>
      <c r="P204" s="96"/>
      <c r="Q204" s="95">
        <v>3107384.7511999998</v>
      </c>
      <c r="R204" s="95">
        <f t="shared" si="8"/>
        <v>129105.2265</v>
      </c>
      <c r="S204" s="96"/>
      <c r="T204" s="95">
        <v>129105.2265</v>
      </c>
      <c r="U204" s="96"/>
      <c r="V204" s="96"/>
      <c r="W204" s="109"/>
      <c r="X204" s="96"/>
      <c r="Y204" s="9">
        <f>IFERROR(VLOOKUP(B204,'[1]2122 Veterans Count'!$J:$M,4,FALSE),0)</f>
        <v>3.6231884057971016E-2</v>
      </c>
      <c r="Z204" s="97">
        <f t="shared" si="7"/>
        <v>4677.7255978260873</v>
      </c>
    </row>
    <row r="205" spans="1:26" x14ac:dyDescent="0.25">
      <c r="A205" s="90" t="s">
        <v>48</v>
      </c>
      <c r="B205" s="91">
        <v>4100312682.8365002</v>
      </c>
      <c r="C205" s="90" t="s">
        <v>252</v>
      </c>
      <c r="D205" s="90" t="s">
        <v>50</v>
      </c>
      <c r="E205" s="90" t="s">
        <v>146</v>
      </c>
      <c r="F205" s="90" t="s">
        <v>121</v>
      </c>
      <c r="G205" s="93"/>
      <c r="H205" s="93"/>
      <c r="I205" s="93"/>
      <c r="J205" s="93"/>
      <c r="K205" s="95">
        <v>4634777.4094000002</v>
      </c>
      <c r="L205" s="95">
        <v>936219.07990000001</v>
      </c>
      <c r="M205" s="95">
        <f t="shared" si="9"/>
        <v>5570996.4893000005</v>
      </c>
      <c r="N205" s="115"/>
      <c r="O205" s="95">
        <v>0</v>
      </c>
      <c r="P205" s="96"/>
      <c r="Q205" s="95">
        <v>5329269.1900000004</v>
      </c>
      <c r="R205" s="95">
        <f t="shared" si="8"/>
        <v>241727.29930000001</v>
      </c>
      <c r="S205" s="96"/>
      <c r="T205" s="100">
        <v>241727.29930000001</v>
      </c>
      <c r="U205" s="96"/>
      <c r="V205" s="96"/>
      <c r="W205" s="109"/>
      <c r="X205" s="96"/>
      <c r="Y205" s="9">
        <f>IFERROR(VLOOKUP(B205,'[1]2122 Veterans Count'!$J:$M,4,FALSE),0)</f>
        <v>0</v>
      </c>
      <c r="Z205" s="97">
        <f t="shared" si="7"/>
        <v>0</v>
      </c>
    </row>
    <row r="206" spans="1:26" x14ac:dyDescent="0.25">
      <c r="A206" s="90" t="s">
        <v>48</v>
      </c>
      <c r="B206" s="91">
        <v>4100312779.7466002</v>
      </c>
      <c r="C206" s="90" t="s">
        <v>253</v>
      </c>
      <c r="D206" s="90" t="s">
        <v>50</v>
      </c>
      <c r="E206" s="90" t="s">
        <v>146</v>
      </c>
      <c r="F206" s="90" t="s">
        <v>121</v>
      </c>
      <c r="G206" s="93"/>
      <c r="H206" s="93"/>
      <c r="I206" s="93"/>
      <c r="J206" s="93"/>
      <c r="K206" s="95">
        <v>181315.45060000001</v>
      </c>
      <c r="L206" s="95">
        <v>44652.467400000001</v>
      </c>
      <c r="M206" s="95">
        <f t="shared" si="9"/>
        <v>225967.91800000001</v>
      </c>
      <c r="N206" s="96"/>
      <c r="O206" s="95">
        <v>0</v>
      </c>
      <c r="P206" s="96"/>
      <c r="Q206" s="95">
        <v>217242.33119999999</v>
      </c>
      <c r="R206" s="95">
        <f t="shared" si="8"/>
        <v>8725.5867999999991</v>
      </c>
      <c r="S206" s="96"/>
      <c r="T206" s="95">
        <v>8725.5867999999991</v>
      </c>
      <c r="U206" s="96"/>
      <c r="V206" s="96"/>
      <c r="W206" s="109"/>
      <c r="X206" s="96"/>
      <c r="Y206" s="9">
        <f>IFERROR(VLOOKUP(B206,'[1]2122 Veterans Count'!$J:$M,4,FALSE),0)</f>
        <v>0</v>
      </c>
      <c r="Z206" s="97">
        <f t="shared" si="7"/>
        <v>0</v>
      </c>
    </row>
    <row r="207" spans="1:26" x14ac:dyDescent="0.25">
      <c r="A207" s="90" t="s">
        <v>48</v>
      </c>
      <c r="B207" s="91">
        <v>4100312827.8365002</v>
      </c>
      <c r="C207" s="90" t="s">
        <v>254</v>
      </c>
      <c r="D207" s="90" t="s">
        <v>50</v>
      </c>
      <c r="E207" s="90" t="s">
        <v>146</v>
      </c>
      <c r="F207" s="90" t="s">
        <v>121</v>
      </c>
      <c r="G207" s="93"/>
      <c r="H207" s="93"/>
      <c r="I207" s="93"/>
      <c r="J207" s="93"/>
      <c r="K207" s="95">
        <v>6302277.0069000004</v>
      </c>
      <c r="L207" s="95">
        <v>1185551.4302999999</v>
      </c>
      <c r="M207" s="95">
        <f t="shared" si="9"/>
        <v>7487828.4372000005</v>
      </c>
      <c r="N207" s="96"/>
      <c r="O207" s="100">
        <v>-2.0000000000000001E-4</v>
      </c>
      <c r="P207" s="96"/>
      <c r="Q207" s="100">
        <v>7177198.7547000004</v>
      </c>
      <c r="R207" s="95">
        <f t="shared" si="8"/>
        <v>310629.6827</v>
      </c>
      <c r="S207" s="96"/>
      <c r="T207" s="95">
        <v>310629.6827</v>
      </c>
      <c r="U207" s="96"/>
      <c r="V207" s="96"/>
      <c r="W207" s="109"/>
      <c r="X207" s="96"/>
      <c r="Y207" s="9">
        <f>IFERROR(VLOOKUP(B207,'[1]2122 Veterans Count'!$J:$M,4,FALSE),0)</f>
        <v>2.8985507246376812E-2</v>
      </c>
      <c r="Z207" s="97">
        <f t="shared" si="7"/>
        <v>9003.75891884058</v>
      </c>
    </row>
    <row r="208" spans="1:26" x14ac:dyDescent="0.25">
      <c r="A208" s="90" t="s">
        <v>48</v>
      </c>
      <c r="B208" s="91">
        <v>4100312922.8365002</v>
      </c>
      <c r="C208" s="90" t="s">
        <v>255</v>
      </c>
      <c r="D208" s="90" t="s">
        <v>50</v>
      </c>
      <c r="E208" s="90" t="s">
        <v>146</v>
      </c>
      <c r="F208" s="90" t="s">
        <v>121</v>
      </c>
      <c r="G208" s="93"/>
      <c r="H208" s="93"/>
      <c r="I208" s="93"/>
      <c r="J208" s="93"/>
      <c r="K208" s="95">
        <v>284954.88740000001</v>
      </c>
      <c r="L208" s="95">
        <v>69426.733099999998</v>
      </c>
      <c r="M208" s="95">
        <f t="shared" si="9"/>
        <v>354381.62050000002</v>
      </c>
      <c r="N208" s="115"/>
      <c r="O208" s="95">
        <v>0</v>
      </c>
      <c r="P208" s="96"/>
      <c r="Q208" s="95">
        <v>340600.30989999999</v>
      </c>
      <c r="R208" s="95">
        <f t="shared" si="8"/>
        <v>13781.310600000001</v>
      </c>
      <c r="S208" s="96"/>
      <c r="T208" s="95">
        <v>13781.310600000001</v>
      </c>
      <c r="U208" s="96"/>
      <c r="V208" s="96"/>
      <c r="W208" s="109"/>
      <c r="X208" s="96"/>
      <c r="Y208" s="9">
        <f>IFERROR(VLOOKUP(B208,'[1]2122 Veterans Count'!$J:$M,4,FALSE),0)</f>
        <v>0</v>
      </c>
      <c r="Z208" s="97">
        <f t="shared" ref="Z208:Z271" si="10">+Y208*R208</f>
        <v>0</v>
      </c>
    </row>
    <row r="209" spans="1:26" x14ac:dyDescent="0.25">
      <c r="A209" s="90" t="s">
        <v>48</v>
      </c>
      <c r="B209" s="91">
        <v>4100312946.7470002</v>
      </c>
      <c r="C209" s="90" t="s">
        <v>256</v>
      </c>
      <c r="D209" s="90" t="s">
        <v>50</v>
      </c>
      <c r="E209" s="90" t="s">
        <v>146</v>
      </c>
      <c r="F209" s="90" t="s">
        <v>121</v>
      </c>
      <c r="G209" s="93"/>
      <c r="H209" s="93"/>
      <c r="I209" s="93"/>
      <c r="J209" s="93"/>
      <c r="K209" s="95">
        <v>319815.72850000003</v>
      </c>
      <c r="L209" s="95">
        <v>78771.123600000006</v>
      </c>
      <c r="M209" s="95">
        <f t="shared" si="9"/>
        <v>398586.85210000002</v>
      </c>
      <c r="N209" s="115"/>
      <c r="O209" s="115"/>
      <c r="P209" s="96"/>
      <c r="Q209" s="95">
        <v>180443.8205</v>
      </c>
      <c r="R209" s="95">
        <f t="shared" ref="R209:R272" si="11">SUM(S209:X209)</f>
        <v>218143.03159999999</v>
      </c>
      <c r="S209" s="96"/>
      <c r="T209" s="95">
        <v>218143.03159999999</v>
      </c>
      <c r="U209" s="96"/>
      <c r="V209" s="96"/>
      <c r="W209" s="109"/>
      <c r="X209" s="96"/>
      <c r="Y209" s="9">
        <f>IFERROR(VLOOKUP(B209,'[1]2122 Veterans Count'!$J:$M,4,FALSE),0)</f>
        <v>1.5873015873015872E-2</v>
      </c>
      <c r="Z209" s="97">
        <f t="shared" si="10"/>
        <v>3462.5878031746029</v>
      </c>
    </row>
    <row r="210" spans="1:26" x14ac:dyDescent="0.25">
      <c r="A210" s="110" t="s">
        <v>48</v>
      </c>
      <c r="B210" s="111">
        <v>4100322568.8354998</v>
      </c>
      <c r="C210" s="110" t="s">
        <v>257</v>
      </c>
      <c r="D210" s="110" t="s">
        <v>50</v>
      </c>
      <c r="E210" s="110" t="s">
        <v>146</v>
      </c>
      <c r="F210" s="110" t="s">
        <v>121</v>
      </c>
      <c r="G210" s="112"/>
      <c r="H210" s="112"/>
      <c r="I210" s="112"/>
      <c r="J210" s="112"/>
      <c r="K210" s="113">
        <v>1185006.1301</v>
      </c>
      <c r="L210" s="113">
        <v>322128.25030000001</v>
      </c>
      <c r="M210" s="113">
        <f t="shared" si="9"/>
        <v>1507134.3803999999</v>
      </c>
      <c r="N210" s="142">
        <v>0</v>
      </c>
      <c r="O210" s="142">
        <v>847961.46490000002</v>
      </c>
      <c r="P210" s="114"/>
      <c r="Q210" s="113">
        <v>659172.9155</v>
      </c>
      <c r="R210" s="113">
        <f t="shared" si="11"/>
        <v>0</v>
      </c>
      <c r="S210" s="114"/>
      <c r="T210" s="116"/>
      <c r="U210" s="114"/>
      <c r="V210" s="114"/>
      <c r="W210" s="117"/>
      <c r="X210" s="114"/>
      <c r="Y210" s="9">
        <f>IFERROR(VLOOKUP(B210,'[1]2122 Veterans Count'!$J:$M,4,FALSE),0)</f>
        <v>0</v>
      </c>
      <c r="Z210" s="97">
        <f t="shared" si="10"/>
        <v>0</v>
      </c>
    </row>
    <row r="211" spans="1:26" x14ac:dyDescent="0.25">
      <c r="A211" s="90" t="s">
        <v>48</v>
      </c>
      <c r="B211" s="91">
        <v>4100322935.7473998</v>
      </c>
      <c r="C211" s="90" t="s">
        <v>258</v>
      </c>
      <c r="D211" s="90" t="s">
        <v>50</v>
      </c>
      <c r="E211" s="90" t="s">
        <v>146</v>
      </c>
      <c r="F211" s="90" t="s">
        <v>121</v>
      </c>
      <c r="G211" s="93"/>
      <c r="H211" s="93"/>
      <c r="I211" s="93"/>
      <c r="J211" s="93"/>
      <c r="K211" s="95">
        <v>67.094200000000001</v>
      </c>
      <c r="L211" s="95">
        <v>20.7363</v>
      </c>
      <c r="M211" s="95">
        <f t="shared" si="9"/>
        <v>87.830500000000001</v>
      </c>
      <c r="N211" s="115"/>
      <c r="O211" s="115"/>
      <c r="P211" s="109"/>
      <c r="Q211" s="115"/>
      <c r="R211" s="95">
        <f t="shared" si="11"/>
        <v>87.830500000000001</v>
      </c>
      <c r="S211" s="96"/>
      <c r="T211" s="95">
        <v>87.830500000000001</v>
      </c>
      <c r="U211" s="109"/>
      <c r="V211" s="96"/>
      <c r="W211" s="96"/>
      <c r="X211" s="96"/>
      <c r="Y211" s="9">
        <f>IFERROR(VLOOKUP(B211,'[1]2122 Veterans Count'!$J:$M,4,FALSE),0)</f>
        <v>0</v>
      </c>
      <c r="Z211" s="97">
        <f t="shared" si="10"/>
        <v>0</v>
      </c>
    </row>
    <row r="212" spans="1:26" x14ac:dyDescent="0.25">
      <c r="A212" s="90" t="s">
        <v>48</v>
      </c>
      <c r="B212" s="91">
        <v>4100322937.7473998</v>
      </c>
      <c r="C212" s="90" t="s">
        <v>259</v>
      </c>
      <c r="D212" s="90" t="s">
        <v>50</v>
      </c>
      <c r="E212" s="90" t="s">
        <v>146</v>
      </c>
      <c r="F212" s="90" t="s">
        <v>121</v>
      </c>
      <c r="G212" s="93"/>
      <c r="H212" s="93"/>
      <c r="I212" s="93"/>
      <c r="J212" s="93"/>
      <c r="K212" s="95">
        <v>63408.152900000001</v>
      </c>
      <c r="L212" s="95">
        <v>18625.653900000001</v>
      </c>
      <c r="M212" s="95">
        <f t="shared" si="9"/>
        <v>82033.806800000006</v>
      </c>
      <c r="N212" s="95">
        <v>232.36349999999999</v>
      </c>
      <c r="O212" s="95">
        <v>0</v>
      </c>
      <c r="P212" s="96"/>
      <c r="Q212" s="95">
        <v>81775.730800000005</v>
      </c>
      <c r="R212" s="95">
        <f t="shared" si="11"/>
        <v>25.712499999999999</v>
      </c>
      <c r="S212" s="96"/>
      <c r="T212" s="95">
        <v>25.712499999999999</v>
      </c>
      <c r="U212" s="109"/>
      <c r="V212" s="96"/>
      <c r="W212" s="96"/>
      <c r="X212" s="96"/>
      <c r="Y212" s="9">
        <f>IFERROR(VLOOKUP(B212,'[1]2122 Veterans Count'!$J:$M,4,FALSE),0)</f>
        <v>0</v>
      </c>
      <c r="Z212" s="97">
        <f t="shared" si="10"/>
        <v>0</v>
      </c>
    </row>
    <row r="213" spans="1:26" x14ac:dyDescent="0.25">
      <c r="A213" s="90" t="s">
        <v>48</v>
      </c>
      <c r="B213" s="91">
        <v>4100202515.7470002</v>
      </c>
      <c r="C213" s="90" t="s">
        <v>260</v>
      </c>
      <c r="D213" s="90" t="s">
        <v>50</v>
      </c>
      <c r="E213" s="90" t="s">
        <v>146</v>
      </c>
      <c r="F213" s="90" t="s">
        <v>261</v>
      </c>
      <c r="G213" s="93"/>
      <c r="H213" s="93"/>
      <c r="I213" s="93"/>
      <c r="J213" s="93"/>
      <c r="K213" s="95">
        <v>1236854.9913999999</v>
      </c>
      <c r="L213" s="95">
        <v>167420.8708</v>
      </c>
      <c r="M213" s="95">
        <f t="shared" si="9"/>
        <v>1404275.8621999999</v>
      </c>
      <c r="N213" s="95">
        <v>806162.527</v>
      </c>
      <c r="O213" s="95">
        <v>0</v>
      </c>
      <c r="P213" s="96"/>
      <c r="Q213" s="95">
        <v>35029.268100000001</v>
      </c>
      <c r="R213" s="95">
        <f t="shared" si="11"/>
        <v>563084.06709999999</v>
      </c>
      <c r="S213" s="96"/>
      <c r="T213" s="95">
        <v>563084.06709999999</v>
      </c>
      <c r="U213" s="96"/>
      <c r="V213" s="96"/>
      <c r="W213" s="96"/>
      <c r="X213" s="96"/>
      <c r="Y213" s="9">
        <f>IFERROR(VLOOKUP(B213,'[1]2122 Veterans Count'!$J:$M,4,FALSE),0)</f>
        <v>1.8292682926829267E-2</v>
      </c>
      <c r="Z213" s="97">
        <f t="shared" si="10"/>
        <v>10300.318300609755</v>
      </c>
    </row>
    <row r="214" spans="1:26" x14ac:dyDescent="0.25">
      <c r="A214" s="90" t="s">
        <v>48</v>
      </c>
      <c r="B214" s="91">
        <v>4100202818.7470002</v>
      </c>
      <c r="C214" s="90" t="s">
        <v>262</v>
      </c>
      <c r="D214" s="90" t="s">
        <v>50</v>
      </c>
      <c r="E214" s="90" t="s">
        <v>146</v>
      </c>
      <c r="F214" s="90" t="s">
        <v>261</v>
      </c>
      <c r="G214" s="93"/>
      <c r="H214" s="93"/>
      <c r="I214" s="93"/>
      <c r="J214" s="93"/>
      <c r="K214" s="95">
        <v>1414410.3533000001</v>
      </c>
      <c r="L214" s="95">
        <v>413096.04790000001</v>
      </c>
      <c r="M214" s="95">
        <f t="shared" si="9"/>
        <v>1827506.4012000002</v>
      </c>
      <c r="N214" s="95">
        <v>829278.37710000004</v>
      </c>
      <c r="O214" s="95">
        <v>1800</v>
      </c>
      <c r="P214" s="96"/>
      <c r="Q214" s="95">
        <v>380291.51150000002</v>
      </c>
      <c r="R214" s="95">
        <f t="shared" si="11"/>
        <v>616136.51260000002</v>
      </c>
      <c r="S214" s="96"/>
      <c r="T214" s="95">
        <v>616136.51260000002</v>
      </c>
      <c r="U214" s="96"/>
      <c r="V214" s="96"/>
      <c r="W214" s="96"/>
      <c r="X214" s="96"/>
      <c r="Y214" s="9">
        <f>IFERROR(VLOOKUP(B214,'[1]2122 Veterans Count'!$J:$M,4,FALSE),0)</f>
        <v>1.3824884792626729E-2</v>
      </c>
      <c r="Z214" s="97">
        <f t="shared" si="10"/>
        <v>8518.0163032258079</v>
      </c>
    </row>
    <row r="215" spans="1:26" x14ac:dyDescent="0.25">
      <c r="A215" s="90" t="s">
        <v>48</v>
      </c>
      <c r="B215" s="91">
        <v>4100203577.7470002</v>
      </c>
      <c r="C215" s="90" t="s">
        <v>263</v>
      </c>
      <c r="D215" s="90" t="s">
        <v>50</v>
      </c>
      <c r="E215" s="90" t="s">
        <v>146</v>
      </c>
      <c r="F215" s="90" t="s">
        <v>261</v>
      </c>
      <c r="G215" s="93"/>
      <c r="H215" s="93"/>
      <c r="I215" s="93"/>
      <c r="J215" s="93"/>
      <c r="K215" s="95">
        <v>1008815.5605</v>
      </c>
      <c r="L215" s="95">
        <v>263272.78779999999</v>
      </c>
      <c r="M215" s="95">
        <f t="shared" si="9"/>
        <v>1272088.3483</v>
      </c>
      <c r="N215" s="95">
        <v>751090.15879999998</v>
      </c>
      <c r="O215" s="95">
        <v>150</v>
      </c>
      <c r="P215" s="96"/>
      <c r="Q215" s="95">
        <v>35011.630499999999</v>
      </c>
      <c r="R215" s="95">
        <f t="shared" si="11"/>
        <v>485836.55900000001</v>
      </c>
      <c r="S215" s="96"/>
      <c r="T215" s="95">
        <v>485836.55900000001</v>
      </c>
      <c r="U215" s="96"/>
      <c r="V215" s="96"/>
      <c r="W215" s="96"/>
      <c r="X215" s="96"/>
      <c r="Y215" s="9">
        <f>IFERROR(VLOOKUP(B215,'[1]2122 Veterans Count'!$J:$M,4,FALSE),0)</f>
        <v>2.7027027027027029E-2</v>
      </c>
      <c r="Z215" s="97">
        <f t="shared" si="10"/>
        <v>13130.717810810811</v>
      </c>
    </row>
    <row r="216" spans="1:26" x14ac:dyDescent="0.25">
      <c r="A216" s="90" t="s">
        <v>48</v>
      </c>
      <c r="B216" s="91">
        <v>4100203578.7470002</v>
      </c>
      <c r="C216" s="90" t="s">
        <v>264</v>
      </c>
      <c r="D216" s="90" t="s">
        <v>50</v>
      </c>
      <c r="E216" s="90" t="s">
        <v>146</v>
      </c>
      <c r="F216" s="90" t="s">
        <v>261</v>
      </c>
      <c r="G216" s="93"/>
      <c r="H216" s="93"/>
      <c r="I216" s="93"/>
      <c r="J216" s="93"/>
      <c r="K216" s="95">
        <v>950620.32880000002</v>
      </c>
      <c r="L216" s="95">
        <v>150507.573</v>
      </c>
      <c r="M216" s="95">
        <f t="shared" si="9"/>
        <v>1101127.9018000001</v>
      </c>
      <c r="N216" s="95">
        <v>650683.20700000005</v>
      </c>
      <c r="O216" s="95">
        <v>821</v>
      </c>
      <c r="P216" s="96"/>
      <c r="Q216" s="95">
        <v>36788.5501</v>
      </c>
      <c r="R216" s="95">
        <f t="shared" si="11"/>
        <v>412835.1447</v>
      </c>
      <c r="S216" s="96"/>
      <c r="T216" s="95">
        <v>412835.1447</v>
      </c>
      <c r="U216" s="96"/>
      <c r="V216" s="96"/>
      <c r="W216" s="96"/>
      <c r="X216" s="96"/>
      <c r="Y216" s="9">
        <f>IFERROR(VLOOKUP(B216,'[1]2122 Veterans Count'!$J:$M,4,FALSE),0)</f>
        <v>1.6393442622950821E-2</v>
      </c>
      <c r="Z216" s="97">
        <f t="shared" si="10"/>
        <v>6767.7892573770496</v>
      </c>
    </row>
    <row r="217" spans="1:26" x14ac:dyDescent="0.25">
      <c r="A217" s="90" t="s">
        <v>48</v>
      </c>
      <c r="B217" s="91">
        <v>4100203819.7470002</v>
      </c>
      <c r="C217" s="90" t="s">
        <v>265</v>
      </c>
      <c r="D217" s="90" t="s">
        <v>50</v>
      </c>
      <c r="E217" s="90" t="s">
        <v>146</v>
      </c>
      <c r="F217" s="90" t="s">
        <v>261</v>
      </c>
      <c r="G217" s="93"/>
      <c r="H217" s="93"/>
      <c r="I217" s="93"/>
      <c r="J217" s="93"/>
      <c r="K217" s="95">
        <v>1376186.79</v>
      </c>
      <c r="L217" s="95">
        <v>280125.61009999999</v>
      </c>
      <c r="M217" s="95">
        <f t="shared" si="9"/>
        <v>1656312.4001</v>
      </c>
      <c r="N217" s="95">
        <v>990466.73120000004</v>
      </c>
      <c r="O217" s="95">
        <v>0</v>
      </c>
      <c r="P217" s="96"/>
      <c r="Q217" s="95">
        <v>55026.5026</v>
      </c>
      <c r="R217" s="95">
        <f t="shared" si="11"/>
        <v>610819.16619999998</v>
      </c>
      <c r="S217" s="96"/>
      <c r="T217" s="95">
        <v>610819.16619999998</v>
      </c>
      <c r="U217" s="96"/>
      <c r="V217" s="96"/>
      <c r="W217" s="96"/>
      <c r="X217" s="96"/>
      <c r="Y217" s="9">
        <f>IFERROR(VLOOKUP(B217,'[1]2122 Veterans Count'!$J:$M,4,FALSE),0)</f>
        <v>2.4752475247524754E-2</v>
      </c>
      <c r="Z217" s="97">
        <f t="shared" si="10"/>
        <v>15119.286292079209</v>
      </c>
    </row>
    <row r="218" spans="1:26" x14ac:dyDescent="0.25">
      <c r="A218" s="90" t="s">
        <v>48</v>
      </c>
      <c r="B218" s="91">
        <v>4100204516.7470002</v>
      </c>
      <c r="C218" s="90" t="s">
        <v>266</v>
      </c>
      <c r="D218" s="90" t="s">
        <v>50</v>
      </c>
      <c r="E218" s="90" t="s">
        <v>146</v>
      </c>
      <c r="F218" s="90" t="s">
        <v>261</v>
      </c>
      <c r="G218" s="93"/>
      <c r="H218" s="93"/>
      <c r="I218" s="93"/>
      <c r="J218" s="93"/>
      <c r="K218" s="95">
        <v>2329449.2730999999</v>
      </c>
      <c r="L218" s="95">
        <v>560050.23349999997</v>
      </c>
      <c r="M218" s="95">
        <f t="shared" si="9"/>
        <v>2889499.5066</v>
      </c>
      <c r="N218" s="95">
        <v>1673105.47</v>
      </c>
      <c r="O218" s="95">
        <v>0</v>
      </c>
      <c r="P218" s="96"/>
      <c r="Q218" s="95">
        <v>234665.61799999999</v>
      </c>
      <c r="R218" s="95">
        <f t="shared" si="11"/>
        <v>981728.41850000003</v>
      </c>
      <c r="S218" s="96"/>
      <c r="T218" s="95">
        <v>981728.41850000003</v>
      </c>
      <c r="U218" s="96"/>
      <c r="V218" s="96"/>
      <c r="W218" s="96"/>
      <c r="X218" s="96"/>
      <c r="Y218" s="9">
        <f>IFERROR(VLOOKUP(B218,'[1]2122 Veterans Count'!$J:$M,4,FALSE),0)</f>
        <v>4.1284403669724773E-2</v>
      </c>
      <c r="Z218" s="97">
        <f t="shared" si="10"/>
        <v>40530.072323394495</v>
      </c>
    </row>
    <row r="219" spans="1:26" x14ac:dyDescent="0.25">
      <c r="A219" s="90" t="s">
        <v>48</v>
      </c>
      <c r="B219" s="91">
        <v>4100202787.7470999</v>
      </c>
      <c r="C219" s="90" t="s">
        <v>267</v>
      </c>
      <c r="D219" s="90" t="s">
        <v>50</v>
      </c>
      <c r="E219" s="90" t="s">
        <v>146</v>
      </c>
      <c r="F219" s="90" t="s">
        <v>124</v>
      </c>
      <c r="G219" s="93"/>
      <c r="H219" s="93"/>
      <c r="I219" s="93"/>
      <c r="J219" s="93"/>
      <c r="K219" s="95">
        <v>1661608.8598</v>
      </c>
      <c r="L219" s="95">
        <v>336754.99790000002</v>
      </c>
      <c r="M219" s="95">
        <f t="shared" si="9"/>
        <v>1998363.8577000001</v>
      </c>
      <c r="N219" s="95">
        <v>1286968.0203</v>
      </c>
      <c r="O219" s="95">
        <v>0</v>
      </c>
      <c r="P219" s="96"/>
      <c r="Q219" s="95">
        <v>337672.53370000003</v>
      </c>
      <c r="R219" s="95">
        <f t="shared" si="11"/>
        <v>373723.30369999999</v>
      </c>
      <c r="S219" s="96"/>
      <c r="T219" s="95">
        <v>373723.30369999999</v>
      </c>
      <c r="U219" s="96"/>
      <c r="V219" s="96"/>
      <c r="W219" s="96"/>
      <c r="X219" s="96"/>
      <c r="Y219" s="9">
        <f>IFERROR(VLOOKUP(B219,'[1]2122 Veterans Count'!$J:$M,4,FALSE),0)</f>
        <v>0</v>
      </c>
      <c r="Z219" s="97">
        <f t="shared" si="10"/>
        <v>0</v>
      </c>
    </row>
    <row r="220" spans="1:26" x14ac:dyDescent="0.25">
      <c r="A220" s="90" t="s">
        <v>48</v>
      </c>
      <c r="B220" s="91">
        <v>4100202804.8354998</v>
      </c>
      <c r="C220" s="90" t="s">
        <v>268</v>
      </c>
      <c r="D220" s="90" t="s">
        <v>50</v>
      </c>
      <c r="E220" s="90" t="s">
        <v>146</v>
      </c>
      <c r="F220" s="90" t="s">
        <v>124</v>
      </c>
      <c r="G220" s="93"/>
      <c r="H220" s="93"/>
      <c r="I220" s="93"/>
      <c r="J220" s="93"/>
      <c r="K220" s="95">
        <v>522929.88</v>
      </c>
      <c r="L220" s="115"/>
      <c r="M220" s="95">
        <f t="shared" si="9"/>
        <v>522929.88</v>
      </c>
      <c r="N220" s="115"/>
      <c r="O220" s="95">
        <v>0</v>
      </c>
      <c r="P220" s="96"/>
      <c r="Q220" s="95">
        <v>10608.2</v>
      </c>
      <c r="R220" s="95">
        <f t="shared" si="11"/>
        <v>512321.68</v>
      </c>
      <c r="S220" s="96"/>
      <c r="T220" s="95">
        <v>512321.68</v>
      </c>
      <c r="U220" s="96"/>
      <c r="V220" s="96"/>
      <c r="W220" s="96"/>
      <c r="X220" s="96"/>
      <c r="Y220" s="9">
        <f>IFERROR(VLOOKUP(B220,'[1]2122 Veterans Count'!$J:$M,4,FALSE),0)</f>
        <v>0</v>
      </c>
      <c r="Z220" s="97">
        <f t="shared" si="10"/>
        <v>0</v>
      </c>
    </row>
    <row r="221" spans="1:26" x14ac:dyDescent="0.25">
      <c r="A221" s="90" t="s">
        <v>48</v>
      </c>
      <c r="B221" s="91">
        <v>4100203785.7470999</v>
      </c>
      <c r="C221" s="90" t="s">
        <v>269</v>
      </c>
      <c r="D221" s="90" t="s">
        <v>50</v>
      </c>
      <c r="E221" s="90" t="s">
        <v>146</v>
      </c>
      <c r="F221" s="90" t="s">
        <v>124</v>
      </c>
      <c r="G221" s="93"/>
      <c r="H221" s="93"/>
      <c r="I221" s="93"/>
      <c r="J221" s="93"/>
      <c r="K221" s="95">
        <v>1661958.1876000001</v>
      </c>
      <c r="L221" s="100">
        <v>405975.11259999999</v>
      </c>
      <c r="M221" s="95">
        <f t="shared" si="9"/>
        <v>2067933.3001999999</v>
      </c>
      <c r="N221" s="100">
        <v>1349682.2503</v>
      </c>
      <c r="O221" s="95">
        <v>0</v>
      </c>
      <c r="P221" s="96"/>
      <c r="Q221" s="95">
        <v>475037.10749999998</v>
      </c>
      <c r="R221" s="95">
        <f t="shared" si="11"/>
        <v>243213.9424</v>
      </c>
      <c r="S221" s="96"/>
      <c r="T221" s="95">
        <v>243213.9424</v>
      </c>
      <c r="U221" s="96"/>
      <c r="V221" s="96"/>
      <c r="W221" s="96"/>
      <c r="X221" s="96"/>
      <c r="Y221" s="9">
        <f>IFERROR(VLOOKUP(B221,'[1]2122 Veterans Count'!$J:$M,4,FALSE),0)</f>
        <v>0</v>
      </c>
      <c r="Z221" s="97">
        <f t="shared" si="10"/>
        <v>0</v>
      </c>
    </row>
    <row r="222" spans="1:26" x14ac:dyDescent="0.25">
      <c r="A222" s="90" t="s">
        <v>48</v>
      </c>
      <c r="B222" s="91">
        <v>4100205786.7470999</v>
      </c>
      <c r="C222" s="90" t="s">
        <v>270</v>
      </c>
      <c r="D222" s="90" t="s">
        <v>50</v>
      </c>
      <c r="E222" s="90" t="s">
        <v>146</v>
      </c>
      <c r="F222" s="90" t="s">
        <v>124</v>
      </c>
      <c r="G222" s="93"/>
      <c r="H222" s="93"/>
      <c r="I222" s="93"/>
      <c r="J222" s="93"/>
      <c r="K222" s="95">
        <v>825926.49439999997</v>
      </c>
      <c r="L222" s="100">
        <v>224527.4999</v>
      </c>
      <c r="M222" s="95">
        <f t="shared" si="9"/>
        <v>1050453.9942999999</v>
      </c>
      <c r="N222" s="100">
        <v>121247.467</v>
      </c>
      <c r="O222" s="100">
        <v>0</v>
      </c>
      <c r="P222" s="96"/>
      <c r="Q222" s="95">
        <v>34420.5792</v>
      </c>
      <c r="R222" s="95">
        <f t="shared" si="11"/>
        <v>894785.94819999998</v>
      </c>
      <c r="S222" s="96"/>
      <c r="T222" s="95">
        <v>894785.94819999998</v>
      </c>
      <c r="U222" s="96"/>
      <c r="V222" s="96"/>
      <c r="W222" s="96"/>
      <c r="X222" s="96"/>
      <c r="Y222" s="9">
        <f>IFERROR(VLOOKUP(B222,'[1]2122 Veterans Count'!$J:$M,4,FALSE),0)</f>
        <v>0</v>
      </c>
      <c r="Z222" s="97">
        <f t="shared" si="10"/>
        <v>0</v>
      </c>
    </row>
    <row r="223" spans="1:26" x14ac:dyDescent="0.25">
      <c r="A223" s="90" t="s">
        <v>48</v>
      </c>
      <c r="B223" s="91">
        <v>4100209826.7470002</v>
      </c>
      <c r="C223" s="90" t="s">
        <v>271</v>
      </c>
      <c r="D223" s="90" t="s">
        <v>50</v>
      </c>
      <c r="E223" s="90" t="s">
        <v>146</v>
      </c>
      <c r="F223" s="90" t="s">
        <v>128</v>
      </c>
      <c r="G223" s="93"/>
      <c r="H223" s="93"/>
      <c r="I223" s="93"/>
      <c r="J223" s="93"/>
      <c r="K223" s="95">
        <v>150.09</v>
      </c>
      <c r="L223" s="96"/>
      <c r="M223" s="95">
        <f t="shared" si="9"/>
        <v>150.09</v>
      </c>
      <c r="N223" s="109"/>
      <c r="O223" s="109"/>
      <c r="P223" s="96"/>
      <c r="Q223" s="115"/>
      <c r="R223" s="95">
        <f t="shared" si="11"/>
        <v>150.09</v>
      </c>
      <c r="S223" s="96"/>
      <c r="T223" s="95">
        <v>150.09</v>
      </c>
      <c r="U223" s="96"/>
      <c r="V223" s="96"/>
      <c r="W223" s="96"/>
      <c r="X223" s="96"/>
      <c r="Y223" s="9">
        <f>IFERROR(VLOOKUP(B223,'[1]2122 Veterans Count'!$J:$M,4,FALSE),0)</f>
        <v>0</v>
      </c>
      <c r="Z223" s="97">
        <f t="shared" si="10"/>
        <v>0</v>
      </c>
    </row>
    <row r="224" spans="1:26" x14ac:dyDescent="0.25">
      <c r="A224" s="90" t="s">
        <v>48</v>
      </c>
      <c r="B224" s="91">
        <v>4100217259.7470002</v>
      </c>
      <c r="C224" s="90" t="s">
        <v>272</v>
      </c>
      <c r="D224" s="90" t="s">
        <v>50</v>
      </c>
      <c r="E224" s="90" t="s">
        <v>146</v>
      </c>
      <c r="F224" s="90" t="s">
        <v>128</v>
      </c>
      <c r="G224" s="93"/>
      <c r="H224" s="93"/>
      <c r="I224" s="93"/>
      <c r="J224" s="93"/>
      <c r="K224" s="95">
        <v>2609205.23</v>
      </c>
      <c r="L224" s="109"/>
      <c r="M224" s="95">
        <f t="shared" si="9"/>
        <v>2609205.23</v>
      </c>
      <c r="N224" s="96"/>
      <c r="O224" s="96"/>
      <c r="P224" s="96"/>
      <c r="Q224" s="95">
        <v>1429732.8868</v>
      </c>
      <c r="R224" s="95">
        <f t="shared" si="11"/>
        <v>1179472.3432</v>
      </c>
      <c r="S224" s="96"/>
      <c r="T224" s="95">
        <v>1179472.3432</v>
      </c>
      <c r="U224" s="96"/>
      <c r="V224" s="96"/>
      <c r="W224" s="96"/>
      <c r="X224" s="96"/>
      <c r="Y224" s="9">
        <f>IFERROR(VLOOKUP(B224,'[1]2122 Veterans Count'!$J:$M,4,FALSE),0)</f>
        <v>4.9295774647887321E-2</v>
      </c>
      <c r="Z224" s="97">
        <f t="shared" si="10"/>
        <v>58143.002833802813</v>
      </c>
    </row>
    <row r="225" spans="1:26" x14ac:dyDescent="0.25">
      <c r="A225" s="90" t="s">
        <v>48</v>
      </c>
      <c r="B225" s="91">
        <v>4100217346.7470002</v>
      </c>
      <c r="C225" s="90" t="s">
        <v>273</v>
      </c>
      <c r="D225" s="90" t="s">
        <v>50</v>
      </c>
      <c r="E225" s="90" t="s">
        <v>146</v>
      </c>
      <c r="F225" s="90" t="s">
        <v>128</v>
      </c>
      <c r="G225" s="93"/>
      <c r="H225" s="93"/>
      <c r="I225" s="93"/>
      <c r="J225" s="93"/>
      <c r="K225" s="95">
        <v>369617.9</v>
      </c>
      <c r="L225" s="96"/>
      <c r="M225" s="95">
        <f t="shared" si="9"/>
        <v>369617.9</v>
      </c>
      <c r="N225" s="109"/>
      <c r="O225" s="109"/>
      <c r="P225" s="96"/>
      <c r="Q225" s="95">
        <v>15010.6049</v>
      </c>
      <c r="R225" s="95">
        <f t="shared" si="11"/>
        <v>354607.29509999999</v>
      </c>
      <c r="S225" s="96"/>
      <c r="T225" s="95">
        <v>354607.29509999999</v>
      </c>
      <c r="U225" s="96"/>
      <c r="V225" s="96"/>
      <c r="W225" s="96"/>
      <c r="X225" s="96"/>
      <c r="Y225" s="9">
        <f>IFERROR(VLOOKUP(B225,'[1]2122 Veterans Count'!$J:$M,4,FALSE),0)</f>
        <v>0</v>
      </c>
      <c r="Z225" s="97">
        <f t="shared" si="10"/>
        <v>0</v>
      </c>
    </row>
    <row r="226" spans="1:26" x14ac:dyDescent="0.25">
      <c r="A226" s="90" t="s">
        <v>48</v>
      </c>
      <c r="B226" s="91">
        <v>4100217397.7470002</v>
      </c>
      <c r="C226" s="90" t="s">
        <v>274</v>
      </c>
      <c r="D226" s="90" t="s">
        <v>50</v>
      </c>
      <c r="E226" s="90" t="s">
        <v>146</v>
      </c>
      <c r="F226" s="90" t="s">
        <v>128</v>
      </c>
      <c r="G226" s="93"/>
      <c r="H226" s="93"/>
      <c r="I226" s="93"/>
      <c r="J226" s="93"/>
      <c r="K226" s="95">
        <v>1049536.74</v>
      </c>
      <c r="L226" s="96"/>
      <c r="M226" s="95">
        <f t="shared" si="9"/>
        <v>1049536.74</v>
      </c>
      <c r="N226" s="109"/>
      <c r="O226" s="109"/>
      <c r="P226" s="96"/>
      <c r="Q226" s="95">
        <v>557928.06579999998</v>
      </c>
      <c r="R226" s="95">
        <f t="shared" si="11"/>
        <v>491608.67420000001</v>
      </c>
      <c r="S226" s="96"/>
      <c r="T226" s="95">
        <v>491608.67420000001</v>
      </c>
      <c r="U226" s="96"/>
      <c r="V226" s="96"/>
      <c r="W226" s="96"/>
      <c r="X226" s="96"/>
      <c r="Y226" s="9">
        <f>IFERROR(VLOOKUP(B226,'[1]2122 Veterans Count'!$J:$M,4,FALSE),0)</f>
        <v>0</v>
      </c>
      <c r="Z226" s="97">
        <f t="shared" si="10"/>
        <v>0</v>
      </c>
    </row>
    <row r="227" spans="1:26" x14ac:dyDescent="0.25">
      <c r="A227" s="90" t="s">
        <v>48</v>
      </c>
      <c r="B227" s="91">
        <v>4100217527.7470002</v>
      </c>
      <c r="C227" s="90" t="s">
        <v>275</v>
      </c>
      <c r="D227" s="90" t="s">
        <v>50</v>
      </c>
      <c r="E227" s="90" t="s">
        <v>146</v>
      </c>
      <c r="F227" s="90" t="s">
        <v>128</v>
      </c>
      <c r="G227" s="93"/>
      <c r="H227" s="93"/>
      <c r="I227" s="93"/>
      <c r="J227" s="93"/>
      <c r="K227" s="95">
        <v>128485.49</v>
      </c>
      <c r="L227" s="109"/>
      <c r="M227" s="95">
        <f t="shared" si="9"/>
        <v>128485.49</v>
      </c>
      <c r="N227" s="109"/>
      <c r="O227" s="109"/>
      <c r="P227" s="96"/>
      <c r="Q227" s="95">
        <v>60173.1</v>
      </c>
      <c r="R227" s="95">
        <f t="shared" si="11"/>
        <v>68312.39</v>
      </c>
      <c r="S227" s="96"/>
      <c r="T227" s="95">
        <v>68312.39</v>
      </c>
      <c r="U227" s="96"/>
      <c r="V227" s="96"/>
      <c r="W227" s="96"/>
      <c r="X227" s="96"/>
      <c r="Y227" s="9">
        <f>IFERROR(VLOOKUP(B227,'[1]2122 Veterans Count'!$J:$M,4,FALSE),0)</f>
        <v>0</v>
      </c>
      <c r="Z227" s="97">
        <f t="shared" si="10"/>
        <v>0</v>
      </c>
    </row>
    <row r="228" spans="1:26" x14ac:dyDescent="0.25">
      <c r="A228" s="110" t="s">
        <v>48</v>
      </c>
      <c r="B228" s="111">
        <v>4100217555.7473998</v>
      </c>
      <c r="C228" s="110" t="s">
        <v>276</v>
      </c>
      <c r="D228" s="110" t="s">
        <v>50</v>
      </c>
      <c r="E228" s="110" t="s">
        <v>146</v>
      </c>
      <c r="F228" s="110" t="s">
        <v>128</v>
      </c>
      <c r="G228" s="112"/>
      <c r="H228" s="112"/>
      <c r="I228" s="112"/>
      <c r="J228" s="112"/>
      <c r="K228" s="113">
        <v>4589.6499999999996</v>
      </c>
      <c r="L228" s="114"/>
      <c r="M228" s="113">
        <f t="shared" si="9"/>
        <v>4589.6499999999996</v>
      </c>
      <c r="N228" s="116"/>
      <c r="O228" s="117"/>
      <c r="P228" s="114"/>
      <c r="Q228" s="113">
        <v>4589.6499999999996</v>
      </c>
      <c r="R228" s="113">
        <f t="shared" si="11"/>
        <v>0</v>
      </c>
      <c r="S228" s="114"/>
      <c r="T228" s="113">
        <v>0</v>
      </c>
      <c r="U228" s="114"/>
      <c r="V228" s="114"/>
      <c r="W228" s="114"/>
      <c r="X228" s="114"/>
      <c r="Y228" s="9">
        <f>IFERROR(VLOOKUP(B228,'[1]2122 Veterans Count'!$J:$M,4,FALSE),0)</f>
        <v>0</v>
      </c>
      <c r="Z228" s="97">
        <f t="shared" si="10"/>
        <v>0</v>
      </c>
    </row>
    <row r="229" spans="1:26" x14ac:dyDescent="0.25">
      <c r="A229" s="90" t="s">
        <v>48</v>
      </c>
      <c r="B229" s="91">
        <v>4100217589.8354998</v>
      </c>
      <c r="C229" s="90" t="s">
        <v>277</v>
      </c>
      <c r="D229" s="90" t="s">
        <v>50</v>
      </c>
      <c r="E229" s="90" t="s">
        <v>146</v>
      </c>
      <c r="F229" s="90" t="s">
        <v>128</v>
      </c>
      <c r="G229" s="93"/>
      <c r="H229" s="93"/>
      <c r="I229" s="93"/>
      <c r="J229" s="93"/>
      <c r="K229" s="95">
        <v>204129.02</v>
      </c>
      <c r="L229" s="96"/>
      <c r="M229" s="95">
        <f t="shared" si="9"/>
        <v>204129.02</v>
      </c>
      <c r="N229" s="109"/>
      <c r="O229" s="109"/>
      <c r="P229" s="96"/>
      <c r="Q229" s="95">
        <v>46010.22</v>
      </c>
      <c r="R229" s="95">
        <f t="shared" si="11"/>
        <v>158118.79999999999</v>
      </c>
      <c r="S229" s="96"/>
      <c r="T229" s="95">
        <v>158118.79999999999</v>
      </c>
      <c r="U229" s="96"/>
      <c r="V229" s="96"/>
      <c r="W229" s="96"/>
      <c r="X229" s="96"/>
      <c r="Y229" s="9">
        <f>IFERROR(VLOOKUP(B229,'[1]2122 Veterans Count'!$J:$M,4,FALSE),0)</f>
        <v>0</v>
      </c>
      <c r="Z229" s="97">
        <f t="shared" si="10"/>
        <v>0</v>
      </c>
    </row>
    <row r="230" spans="1:26" x14ac:dyDescent="0.25">
      <c r="A230" s="90" t="s">
        <v>48</v>
      </c>
      <c r="B230" s="91">
        <v>4100217737.8355999</v>
      </c>
      <c r="C230" s="90" t="s">
        <v>278</v>
      </c>
      <c r="D230" s="90" t="s">
        <v>50</v>
      </c>
      <c r="E230" s="90" t="s">
        <v>146</v>
      </c>
      <c r="F230" s="90" t="s">
        <v>128</v>
      </c>
      <c r="G230" s="93"/>
      <c r="H230" s="93"/>
      <c r="I230" s="93"/>
      <c r="J230" s="93"/>
      <c r="K230" s="95">
        <v>249689.2856</v>
      </c>
      <c r="L230" s="100">
        <v>52203.173000000003</v>
      </c>
      <c r="M230" s="95">
        <f t="shared" si="9"/>
        <v>301892.45860000001</v>
      </c>
      <c r="N230" s="100">
        <v>12930.770399999999</v>
      </c>
      <c r="O230" s="100">
        <v>1293.6400000000001</v>
      </c>
      <c r="P230" s="96"/>
      <c r="Q230" s="100">
        <v>284819.5</v>
      </c>
      <c r="R230" s="95">
        <f t="shared" si="11"/>
        <v>2848.5482000000002</v>
      </c>
      <c r="S230" s="96"/>
      <c r="T230" s="95">
        <v>2848.5482000000002</v>
      </c>
      <c r="U230" s="96"/>
      <c r="V230" s="96"/>
      <c r="W230" s="96"/>
      <c r="X230" s="96"/>
      <c r="Y230" s="9">
        <f>IFERROR(VLOOKUP(B230,'[1]2122 Veterans Count'!$J:$M,4,FALSE),0)</f>
        <v>0</v>
      </c>
      <c r="Z230" s="97">
        <f t="shared" si="10"/>
        <v>0</v>
      </c>
    </row>
    <row r="231" spans="1:26" x14ac:dyDescent="0.25">
      <c r="A231" s="90" t="s">
        <v>48</v>
      </c>
      <c r="B231" s="91">
        <v>4100217829.7474999</v>
      </c>
      <c r="C231" s="90" t="s">
        <v>279</v>
      </c>
      <c r="D231" s="90" t="s">
        <v>50</v>
      </c>
      <c r="E231" s="90" t="s">
        <v>146</v>
      </c>
      <c r="F231" s="90" t="s">
        <v>128</v>
      </c>
      <c r="G231" s="93"/>
      <c r="H231" s="93"/>
      <c r="I231" s="93"/>
      <c r="J231" s="93"/>
      <c r="K231" s="95">
        <v>2413518.8089999999</v>
      </c>
      <c r="L231" s="100">
        <v>437171.18689999997</v>
      </c>
      <c r="M231" s="95">
        <f t="shared" si="9"/>
        <v>2850689.9959</v>
      </c>
      <c r="N231" s="109"/>
      <c r="O231" s="109"/>
      <c r="P231" s="96"/>
      <c r="Q231" s="95">
        <v>938959.45479999995</v>
      </c>
      <c r="R231" s="95">
        <f t="shared" si="11"/>
        <v>1911730.5411</v>
      </c>
      <c r="S231" s="96"/>
      <c r="T231" s="95">
        <v>1911730.5411</v>
      </c>
      <c r="U231" s="96"/>
      <c r="V231" s="96"/>
      <c r="W231" s="96"/>
      <c r="X231" s="96"/>
      <c r="Y231" s="9">
        <f>IFERROR(VLOOKUP(B231,'[1]2122 Veterans Count'!$J:$M,4,FALSE),0)</f>
        <v>4.4031311154598823E-2</v>
      </c>
      <c r="Z231" s="97">
        <f t="shared" si="10"/>
        <v>84176.002298923675</v>
      </c>
    </row>
    <row r="232" spans="1:26" x14ac:dyDescent="0.25">
      <c r="A232" s="110" t="s">
        <v>48</v>
      </c>
      <c r="B232" s="111">
        <v>4100217829.7554998</v>
      </c>
      <c r="C232" s="110" t="s">
        <v>280</v>
      </c>
      <c r="D232" s="110" t="s">
        <v>50</v>
      </c>
      <c r="E232" s="110" t="s">
        <v>146</v>
      </c>
      <c r="F232" s="110" t="s">
        <v>128</v>
      </c>
      <c r="G232" s="112"/>
      <c r="H232" s="112"/>
      <c r="I232" s="112"/>
      <c r="J232" s="112"/>
      <c r="K232" s="113">
        <v>14963.9467</v>
      </c>
      <c r="L232" s="113">
        <v>3294.8852000000002</v>
      </c>
      <c r="M232" s="113">
        <f t="shared" si="9"/>
        <v>18258.831900000001</v>
      </c>
      <c r="N232" s="117"/>
      <c r="O232" s="117"/>
      <c r="P232" s="114"/>
      <c r="Q232" s="113">
        <v>18258.827099999999</v>
      </c>
      <c r="R232" s="113">
        <f t="shared" si="11"/>
        <v>4.7999999999999996E-3</v>
      </c>
      <c r="S232" s="114"/>
      <c r="T232" s="113">
        <v>4.7999999999999996E-3</v>
      </c>
      <c r="U232" s="114"/>
      <c r="V232" s="114"/>
      <c r="W232" s="114"/>
      <c r="X232" s="114"/>
      <c r="Y232" s="9">
        <f>IFERROR(VLOOKUP(B232,'[1]2122 Veterans Count'!$J:$M,4,FALSE),0)</f>
        <v>0</v>
      </c>
      <c r="Z232" s="97">
        <f t="shared" si="10"/>
        <v>0</v>
      </c>
    </row>
    <row r="233" spans="1:26" x14ac:dyDescent="0.25">
      <c r="A233" s="110" t="s">
        <v>48</v>
      </c>
      <c r="B233" s="111">
        <v>4100217829.7556</v>
      </c>
      <c r="C233" s="110" t="s">
        <v>281</v>
      </c>
      <c r="D233" s="110" t="s">
        <v>50</v>
      </c>
      <c r="E233" s="110" t="s">
        <v>146</v>
      </c>
      <c r="F233" s="110" t="s">
        <v>128</v>
      </c>
      <c r="G233" s="112"/>
      <c r="H233" s="112"/>
      <c r="I233" s="112"/>
      <c r="J233" s="112"/>
      <c r="K233" s="113">
        <v>9427.1013999999996</v>
      </c>
      <c r="L233" s="113">
        <v>1964.6089999999999</v>
      </c>
      <c r="M233" s="113">
        <f t="shared" si="9"/>
        <v>11391.7104</v>
      </c>
      <c r="N233" s="116"/>
      <c r="O233" s="116"/>
      <c r="P233" s="114"/>
      <c r="Q233" s="113">
        <v>11391.7076</v>
      </c>
      <c r="R233" s="113">
        <f t="shared" si="11"/>
        <v>2.8E-3</v>
      </c>
      <c r="S233" s="114"/>
      <c r="T233" s="113">
        <v>2.8E-3</v>
      </c>
      <c r="U233" s="114"/>
      <c r="V233" s="114"/>
      <c r="W233" s="114"/>
      <c r="X233" s="114"/>
      <c r="Y233" s="9">
        <f>IFERROR(VLOOKUP(B233,'[1]2122 Veterans Count'!$J:$M,4,FALSE),0)</f>
        <v>0</v>
      </c>
      <c r="Z233" s="97">
        <f t="shared" si="10"/>
        <v>0</v>
      </c>
    </row>
    <row r="234" spans="1:26" x14ac:dyDescent="0.25">
      <c r="A234" s="90" t="s">
        <v>48</v>
      </c>
      <c r="B234" s="91">
        <v>4100217836.7470002</v>
      </c>
      <c r="C234" s="90" t="s">
        <v>282</v>
      </c>
      <c r="D234" s="90" t="s">
        <v>50</v>
      </c>
      <c r="E234" s="90" t="s">
        <v>146</v>
      </c>
      <c r="F234" s="90" t="s">
        <v>128</v>
      </c>
      <c r="G234" s="93"/>
      <c r="H234" s="93"/>
      <c r="I234" s="93"/>
      <c r="J234" s="93"/>
      <c r="K234" s="95">
        <v>89188.11</v>
      </c>
      <c r="L234" s="109"/>
      <c r="M234" s="95">
        <f t="shared" si="9"/>
        <v>89188.11</v>
      </c>
      <c r="N234" s="96"/>
      <c r="O234" s="109"/>
      <c r="P234" s="96"/>
      <c r="Q234" s="95">
        <v>44372.5</v>
      </c>
      <c r="R234" s="95">
        <f t="shared" si="11"/>
        <v>44815.61</v>
      </c>
      <c r="S234" s="96"/>
      <c r="T234" s="95">
        <v>44815.61</v>
      </c>
      <c r="U234" s="96"/>
      <c r="V234" s="96"/>
      <c r="W234" s="96"/>
      <c r="X234" s="96"/>
      <c r="Y234" s="9">
        <f>IFERROR(VLOOKUP(B234,'[1]2122 Veterans Count'!$J:$M,4,FALSE),0)</f>
        <v>0</v>
      </c>
      <c r="Z234" s="97">
        <f t="shared" si="10"/>
        <v>0</v>
      </c>
    </row>
    <row r="235" spans="1:26" x14ac:dyDescent="0.25">
      <c r="A235" s="90" t="s">
        <v>48</v>
      </c>
      <c r="B235" s="91">
        <v>4100217837.7470002</v>
      </c>
      <c r="C235" s="90" t="s">
        <v>283</v>
      </c>
      <c r="D235" s="90" t="s">
        <v>50</v>
      </c>
      <c r="E235" s="90" t="s">
        <v>146</v>
      </c>
      <c r="F235" s="90" t="s">
        <v>128</v>
      </c>
      <c r="G235" s="93"/>
      <c r="H235" s="93"/>
      <c r="I235" s="93"/>
      <c r="J235" s="93"/>
      <c r="K235" s="95">
        <v>72666.25</v>
      </c>
      <c r="L235" s="109"/>
      <c r="M235" s="95">
        <f t="shared" si="9"/>
        <v>72666.25</v>
      </c>
      <c r="N235" s="96"/>
      <c r="O235" s="109"/>
      <c r="P235" s="96"/>
      <c r="Q235" s="95">
        <v>34333</v>
      </c>
      <c r="R235" s="95">
        <f t="shared" si="11"/>
        <v>38333.25</v>
      </c>
      <c r="S235" s="96"/>
      <c r="T235" s="95">
        <v>38333.25</v>
      </c>
      <c r="U235" s="96"/>
      <c r="V235" s="96"/>
      <c r="W235" s="96"/>
      <c r="X235" s="96"/>
      <c r="Y235" s="9">
        <f>IFERROR(VLOOKUP(B235,'[1]2122 Veterans Count'!$J:$M,4,FALSE),0)</f>
        <v>0</v>
      </c>
      <c r="Z235" s="97">
        <f t="shared" si="10"/>
        <v>0</v>
      </c>
    </row>
    <row r="236" spans="1:26" x14ac:dyDescent="0.25">
      <c r="A236" s="90" t="s">
        <v>48</v>
      </c>
      <c r="B236" s="91">
        <v>4100217838.7470002</v>
      </c>
      <c r="C236" s="90" t="s">
        <v>284</v>
      </c>
      <c r="D236" s="90" t="s">
        <v>50</v>
      </c>
      <c r="E236" s="90" t="s">
        <v>146</v>
      </c>
      <c r="F236" s="90" t="s">
        <v>128</v>
      </c>
      <c r="G236" s="93"/>
      <c r="H236" s="93"/>
      <c r="I236" s="93"/>
      <c r="J236" s="93"/>
      <c r="K236" s="95">
        <v>77201.070000000007</v>
      </c>
      <c r="L236" s="109"/>
      <c r="M236" s="95">
        <f t="shared" si="9"/>
        <v>77201.070000000007</v>
      </c>
      <c r="N236" s="96"/>
      <c r="O236" s="109"/>
      <c r="P236" s="96"/>
      <c r="Q236" s="95">
        <v>44797.5</v>
      </c>
      <c r="R236" s="95">
        <f t="shared" si="11"/>
        <v>32403.57</v>
      </c>
      <c r="S236" s="96"/>
      <c r="T236" s="95">
        <v>32403.57</v>
      </c>
      <c r="U236" s="96"/>
      <c r="V236" s="96"/>
      <c r="W236" s="96"/>
      <c r="X236" s="96"/>
      <c r="Y236" s="9">
        <f>IFERROR(VLOOKUP(B236,'[1]2122 Veterans Count'!$J:$M,4,FALSE),0)</f>
        <v>0</v>
      </c>
      <c r="Z236" s="97">
        <f t="shared" si="10"/>
        <v>0</v>
      </c>
    </row>
    <row r="237" spans="1:26" x14ac:dyDescent="0.25">
      <c r="A237" s="90" t="s">
        <v>48</v>
      </c>
      <c r="B237" s="91">
        <v>4100217839.7470002</v>
      </c>
      <c r="C237" s="90" t="s">
        <v>285</v>
      </c>
      <c r="D237" s="90" t="s">
        <v>50</v>
      </c>
      <c r="E237" s="90" t="s">
        <v>146</v>
      </c>
      <c r="F237" s="90" t="s">
        <v>128</v>
      </c>
      <c r="G237" s="93"/>
      <c r="H237" s="93"/>
      <c r="I237" s="93"/>
      <c r="J237" s="93"/>
      <c r="K237" s="95">
        <v>153609.57</v>
      </c>
      <c r="L237" s="115"/>
      <c r="M237" s="95">
        <f t="shared" si="9"/>
        <v>153609.57</v>
      </c>
      <c r="N237" s="109"/>
      <c r="O237" s="109"/>
      <c r="P237" s="96"/>
      <c r="Q237" s="95">
        <v>50340.7</v>
      </c>
      <c r="R237" s="95">
        <f t="shared" si="11"/>
        <v>103268.87</v>
      </c>
      <c r="S237" s="96"/>
      <c r="T237" s="95">
        <v>103268.87</v>
      </c>
      <c r="U237" s="96"/>
      <c r="V237" s="96"/>
      <c r="W237" s="96"/>
      <c r="X237" s="96"/>
      <c r="Y237" s="9">
        <f>IFERROR(VLOOKUP(B237,'[1]2122 Veterans Count'!$J:$M,4,FALSE),0)</f>
        <v>0</v>
      </c>
      <c r="Z237" s="97">
        <f t="shared" si="10"/>
        <v>0</v>
      </c>
    </row>
    <row r="238" spans="1:26" x14ac:dyDescent="0.25">
      <c r="A238" s="90" t="s">
        <v>48</v>
      </c>
      <c r="B238" s="91">
        <v>4100217938.7470002</v>
      </c>
      <c r="C238" s="90" t="s">
        <v>286</v>
      </c>
      <c r="D238" s="90" t="s">
        <v>50</v>
      </c>
      <c r="E238" s="90" t="s">
        <v>146</v>
      </c>
      <c r="F238" s="90" t="s">
        <v>128</v>
      </c>
      <c r="G238" s="93"/>
      <c r="H238" s="93"/>
      <c r="I238" s="93"/>
      <c r="J238" s="93"/>
      <c r="K238" s="95">
        <v>4062.3618000000001</v>
      </c>
      <c r="L238" s="100">
        <v>876.14459999999997</v>
      </c>
      <c r="M238" s="95">
        <f t="shared" si="9"/>
        <v>4938.5064000000002</v>
      </c>
      <c r="N238" s="100">
        <v>116.1818</v>
      </c>
      <c r="O238" s="100">
        <v>0</v>
      </c>
      <c r="P238" s="96"/>
      <c r="Q238" s="95">
        <v>4731.3724000000002</v>
      </c>
      <c r="R238" s="95">
        <f t="shared" si="11"/>
        <v>90.952200000000005</v>
      </c>
      <c r="S238" s="96"/>
      <c r="T238" s="95">
        <v>90.952200000000005</v>
      </c>
      <c r="U238" s="96"/>
      <c r="V238" s="96"/>
      <c r="W238" s="96"/>
      <c r="X238" s="96"/>
      <c r="Y238" s="9">
        <f>IFERROR(VLOOKUP(B238,'[1]2122 Veterans Count'!$J:$M,4,FALSE),0)</f>
        <v>0</v>
      </c>
      <c r="Z238" s="97">
        <f t="shared" si="10"/>
        <v>0</v>
      </c>
    </row>
    <row r="239" spans="1:26" x14ac:dyDescent="0.25">
      <c r="A239" s="110" t="s">
        <v>48</v>
      </c>
      <c r="B239" s="111">
        <v>4100217974.7470002</v>
      </c>
      <c r="C239" s="110" t="s">
        <v>287</v>
      </c>
      <c r="D239" s="110" t="s">
        <v>50</v>
      </c>
      <c r="E239" s="110" t="s">
        <v>146</v>
      </c>
      <c r="F239" s="110" t="s">
        <v>128</v>
      </c>
      <c r="G239" s="112"/>
      <c r="H239" s="112"/>
      <c r="I239" s="112"/>
      <c r="J239" s="112"/>
      <c r="K239" s="113">
        <v>69013.125700000004</v>
      </c>
      <c r="L239" s="142">
        <v>11606.886200000001</v>
      </c>
      <c r="M239" s="113">
        <f t="shared" si="9"/>
        <v>80620.011900000012</v>
      </c>
      <c r="N239" s="114"/>
      <c r="O239" s="114"/>
      <c r="P239" s="114"/>
      <c r="Q239" s="113">
        <v>80620.016199999998</v>
      </c>
      <c r="R239" s="113">
        <f t="shared" si="11"/>
        <v>-4.3E-3</v>
      </c>
      <c r="S239" s="114"/>
      <c r="T239" s="113">
        <v>-4.3E-3</v>
      </c>
      <c r="U239" s="114"/>
      <c r="V239" s="114"/>
      <c r="W239" s="114"/>
      <c r="X239" s="114"/>
      <c r="Y239" s="9">
        <f>IFERROR(VLOOKUP(B239,'[1]2122 Veterans Count'!$J:$M,4,FALSE),0)</f>
        <v>0</v>
      </c>
      <c r="Z239" s="97">
        <f t="shared" si="10"/>
        <v>0</v>
      </c>
    </row>
    <row r="240" spans="1:26" x14ac:dyDescent="0.25">
      <c r="A240" s="90" t="s">
        <v>48</v>
      </c>
      <c r="B240" s="91">
        <v>4100220636.8354998</v>
      </c>
      <c r="C240" s="90" t="s">
        <v>288</v>
      </c>
      <c r="D240" s="90" t="s">
        <v>50</v>
      </c>
      <c r="E240" s="90" t="s">
        <v>146</v>
      </c>
      <c r="F240" s="90" t="s">
        <v>128</v>
      </c>
      <c r="G240" s="93"/>
      <c r="H240" s="93"/>
      <c r="I240" s="93"/>
      <c r="J240" s="93"/>
      <c r="K240" s="95">
        <v>202815.95009999999</v>
      </c>
      <c r="L240" s="115"/>
      <c r="M240" s="95">
        <f t="shared" si="9"/>
        <v>202815.95009999999</v>
      </c>
      <c r="N240" s="115"/>
      <c r="O240" s="115"/>
      <c r="P240" s="96"/>
      <c r="Q240" s="95">
        <v>122892</v>
      </c>
      <c r="R240" s="95">
        <f t="shared" si="11"/>
        <v>79923.950100000002</v>
      </c>
      <c r="S240" s="96"/>
      <c r="T240" s="95">
        <v>79923.950100000002</v>
      </c>
      <c r="U240" s="96"/>
      <c r="V240" s="96"/>
      <c r="W240" s="96"/>
      <c r="X240" s="96"/>
      <c r="Y240" s="9">
        <f>IFERROR(VLOOKUP(B240,'[1]2122 Veterans Count'!$J:$M,4,FALSE),0)</f>
        <v>0</v>
      </c>
      <c r="Z240" s="97">
        <f t="shared" si="10"/>
        <v>0</v>
      </c>
    </row>
    <row r="241" spans="1:26" x14ac:dyDescent="0.25">
      <c r="A241" s="90" t="s">
        <v>48</v>
      </c>
      <c r="B241" s="91">
        <v>4100220638.8354998</v>
      </c>
      <c r="C241" s="90" t="s">
        <v>289</v>
      </c>
      <c r="D241" s="90" t="s">
        <v>50</v>
      </c>
      <c r="E241" s="90" t="s">
        <v>146</v>
      </c>
      <c r="F241" s="90" t="s">
        <v>128</v>
      </c>
      <c r="G241" s="93"/>
      <c r="H241" s="93"/>
      <c r="I241" s="93"/>
      <c r="J241" s="93"/>
      <c r="K241" s="95">
        <v>428626.53810000001</v>
      </c>
      <c r="L241" s="115"/>
      <c r="M241" s="95">
        <f t="shared" si="9"/>
        <v>428626.53810000001</v>
      </c>
      <c r="N241" s="109"/>
      <c r="O241" s="109"/>
      <c r="P241" s="96"/>
      <c r="Q241" s="95">
        <v>340117.92</v>
      </c>
      <c r="R241" s="95">
        <f t="shared" si="11"/>
        <v>88508.618100000007</v>
      </c>
      <c r="S241" s="96"/>
      <c r="T241" s="95">
        <v>88508.618100000007</v>
      </c>
      <c r="U241" s="96"/>
      <c r="V241" s="96"/>
      <c r="W241" s="96"/>
      <c r="X241" s="96"/>
      <c r="Y241" s="9">
        <f>IFERROR(VLOOKUP(B241,'[1]2122 Veterans Count'!$J:$M,4,FALSE),0)</f>
        <v>0</v>
      </c>
      <c r="Z241" s="97">
        <f t="shared" si="10"/>
        <v>0</v>
      </c>
    </row>
    <row r="242" spans="1:26" x14ac:dyDescent="0.25">
      <c r="A242" s="90" t="s">
        <v>48</v>
      </c>
      <c r="B242" s="91">
        <v>4100220775.8354998</v>
      </c>
      <c r="C242" s="90" t="s">
        <v>290</v>
      </c>
      <c r="D242" s="90" t="s">
        <v>50</v>
      </c>
      <c r="E242" s="90" t="s">
        <v>146</v>
      </c>
      <c r="F242" s="90" t="s">
        <v>128</v>
      </c>
      <c r="G242" s="93"/>
      <c r="H242" s="93"/>
      <c r="I242" s="93"/>
      <c r="J242" s="93"/>
      <c r="K242" s="95">
        <v>531992.64729999995</v>
      </c>
      <c r="L242" s="109"/>
      <c r="M242" s="95">
        <f t="shared" si="9"/>
        <v>531992.64729999995</v>
      </c>
      <c r="N242" s="109"/>
      <c r="O242" s="109"/>
      <c r="P242" s="96"/>
      <c r="Q242" s="95">
        <v>391676.95</v>
      </c>
      <c r="R242" s="95">
        <f t="shared" si="11"/>
        <v>140315.6973</v>
      </c>
      <c r="S242" s="96"/>
      <c r="T242" s="95">
        <v>140315.6973</v>
      </c>
      <c r="U242" s="96"/>
      <c r="V242" s="96"/>
      <c r="W242" s="96"/>
      <c r="X242" s="96"/>
      <c r="Y242" s="9">
        <f>IFERROR(VLOOKUP(B242,'[1]2122 Veterans Count'!$J:$M,4,FALSE),0)</f>
        <v>0</v>
      </c>
      <c r="Z242" s="97">
        <f t="shared" si="10"/>
        <v>0</v>
      </c>
    </row>
    <row r="243" spans="1:26" x14ac:dyDescent="0.25">
      <c r="A243" s="90" t="s">
        <v>48</v>
      </c>
      <c r="B243" s="91">
        <v>4100220900.8354998</v>
      </c>
      <c r="C243" s="90" t="s">
        <v>291</v>
      </c>
      <c r="D243" s="90" t="s">
        <v>50</v>
      </c>
      <c r="E243" s="90" t="s">
        <v>146</v>
      </c>
      <c r="F243" s="90" t="s">
        <v>128</v>
      </c>
      <c r="G243" s="93"/>
      <c r="H243" s="93"/>
      <c r="I243" s="93"/>
      <c r="J243" s="93"/>
      <c r="K243" s="95">
        <v>314814.11</v>
      </c>
      <c r="L243" s="109"/>
      <c r="M243" s="95">
        <f t="shared" si="9"/>
        <v>314814.11</v>
      </c>
      <c r="N243" s="100">
        <v>0</v>
      </c>
      <c r="O243" s="109"/>
      <c r="P243" s="96"/>
      <c r="Q243" s="100">
        <v>78230.399999999994</v>
      </c>
      <c r="R243" s="95">
        <f t="shared" si="11"/>
        <v>236583.71</v>
      </c>
      <c r="S243" s="96"/>
      <c r="T243" s="95">
        <v>236583.71</v>
      </c>
      <c r="U243" s="96"/>
      <c r="V243" s="96"/>
      <c r="W243" s="96"/>
      <c r="X243" s="96"/>
      <c r="Y243" s="9">
        <f>IFERROR(VLOOKUP(B243,'[1]2122 Veterans Count'!$J:$M,4,FALSE),0)</f>
        <v>0</v>
      </c>
      <c r="Z243" s="97">
        <f t="shared" si="10"/>
        <v>0</v>
      </c>
    </row>
    <row r="244" spans="1:26" x14ac:dyDescent="0.25">
      <c r="A244" s="90" t="s">
        <v>48</v>
      </c>
      <c r="B244" s="91">
        <v>4100202983.7470002</v>
      </c>
      <c r="C244" s="90" t="s">
        <v>292</v>
      </c>
      <c r="D244" s="90" t="s">
        <v>50</v>
      </c>
      <c r="E244" s="90" t="s">
        <v>146</v>
      </c>
      <c r="F244" s="90" t="s">
        <v>293</v>
      </c>
      <c r="G244" s="93"/>
      <c r="H244" s="93"/>
      <c r="I244" s="93"/>
      <c r="J244" s="93"/>
      <c r="K244" s="95">
        <v>41378.47</v>
      </c>
      <c r="L244" s="115"/>
      <c r="M244" s="95">
        <f t="shared" si="9"/>
        <v>41378.47</v>
      </c>
      <c r="N244" s="109"/>
      <c r="O244" s="109"/>
      <c r="P244" s="96"/>
      <c r="Q244" s="115"/>
      <c r="R244" s="95">
        <f t="shared" si="11"/>
        <v>41378.47</v>
      </c>
      <c r="S244" s="96"/>
      <c r="T244" s="95">
        <v>41378.47</v>
      </c>
      <c r="U244" s="96"/>
      <c r="V244" s="96"/>
      <c r="W244" s="96"/>
      <c r="X244" s="96"/>
      <c r="Y244" s="9">
        <f>IFERROR(VLOOKUP(B244,'[1]2122 Veterans Count'!$J:$M,4,FALSE),0)</f>
        <v>0</v>
      </c>
      <c r="Z244" s="97">
        <f t="shared" si="10"/>
        <v>0</v>
      </c>
    </row>
    <row r="245" spans="1:26" x14ac:dyDescent="0.25">
      <c r="A245" s="110" t="s">
        <v>48</v>
      </c>
      <c r="B245" s="111">
        <v>4100203984.7470002</v>
      </c>
      <c r="C245" s="110" t="s">
        <v>294</v>
      </c>
      <c r="D245" s="110" t="s">
        <v>50</v>
      </c>
      <c r="E245" s="110" t="s">
        <v>146</v>
      </c>
      <c r="F245" s="110" t="s">
        <v>293</v>
      </c>
      <c r="G245" s="112"/>
      <c r="H245" s="112"/>
      <c r="I245" s="112"/>
      <c r="J245" s="112"/>
      <c r="K245" s="113">
        <v>1631.29</v>
      </c>
      <c r="L245" s="116"/>
      <c r="M245" s="113">
        <f t="shared" si="9"/>
        <v>1631.29</v>
      </c>
      <c r="N245" s="117"/>
      <c r="O245" s="117"/>
      <c r="P245" s="114"/>
      <c r="Q245" s="113">
        <v>1631.29</v>
      </c>
      <c r="R245" s="113">
        <f t="shared" si="11"/>
        <v>0</v>
      </c>
      <c r="S245" s="114"/>
      <c r="T245" s="113">
        <v>0</v>
      </c>
      <c r="U245" s="114"/>
      <c r="V245" s="114"/>
      <c r="W245" s="114"/>
      <c r="X245" s="114"/>
      <c r="Y245" s="9">
        <f>IFERROR(VLOOKUP(B245,'[1]2122 Veterans Count'!$J:$M,4,FALSE),0)</f>
        <v>0</v>
      </c>
      <c r="Z245" s="97">
        <f t="shared" si="10"/>
        <v>0</v>
      </c>
    </row>
    <row r="246" spans="1:26" x14ac:dyDescent="0.25">
      <c r="A246" s="90" t="s">
        <v>48</v>
      </c>
      <c r="B246" s="91">
        <v>4100203985.7470002</v>
      </c>
      <c r="C246" s="90" t="s">
        <v>295</v>
      </c>
      <c r="D246" s="90" t="s">
        <v>50</v>
      </c>
      <c r="E246" s="90" t="s">
        <v>146</v>
      </c>
      <c r="F246" s="90" t="s">
        <v>293</v>
      </c>
      <c r="G246" s="93"/>
      <c r="H246" s="93"/>
      <c r="I246" s="93"/>
      <c r="J246" s="93"/>
      <c r="K246" s="95">
        <v>44162.045400000003</v>
      </c>
      <c r="L246" s="95">
        <v>12746.000400000001</v>
      </c>
      <c r="M246" s="95">
        <f t="shared" si="9"/>
        <v>56908.045800000007</v>
      </c>
      <c r="N246" s="109"/>
      <c r="O246" s="109"/>
      <c r="P246" s="96"/>
      <c r="Q246" s="95">
        <v>35394.747799999997</v>
      </c>
      <c r="R246" s="95">
        <f t="shared" si="11"/>
        <v>21513.297999999999</v>
      </c>
      <c r="S246" s="96"/>
      <c r="T246" s="95">
        <v>21513.297999999999</v>
      </c>
      <c r="U246" s="96"/>
      <c r="V246" s="96"/>
      <c r="W246" s="96"/>
      <c r="X246" s="96"/>
      <c r="Y246" s="9">
        <f>IFERROR(VLOOKUP(B246,'[1]2122 Veterans Count'!$J:$M,4,FALSE),0)</f>
        <v>0</v>
      </c>
      <c r="Z246" s="97">
        <f t="shared" si="10"/>
        <v>0</v>
      </c>
    </row>
    <row r="247" spans="1:26" x14ac:dyDescent="0.25">
      <c r="A247" s="110" t="s">
        <v>48</v>
      </c>
      <c r="B247" s="111">
        <v>4100204986.7470002</v>
      </c>
      <c r="C247" s="110" t="s">
        <v>296</v>
      </c>
      <c r="D247" s="110" t="s">
        <v>50</v>
      </c>
      <c r="E247" s="110" t="s">
        <v>146</v>
      </c>
      <c r="F247" s="110" t="s">
        <v>293</v>
      </c>
      <c r="G247" s="112"/>
      <c r="H247" s="112"/>
      <c r="I247" s="112"/>
      <c r="J247" s="112"/>
      <c r="K247" s="113">
        <v>22360.149799999999</v>
      </c>
      <c r="L247" s="142">
        <v>782.30510000000004</v>
      </c>
      <c r="M247" s="113">
        <f t="shared" si="9"/>
        <v>23142.454900000001</v>
      </c>
      <c r="N247" s="116"/>
      <c r="O247" s="114"/>
      <c r="P247" s="114"/>
      <c r="Q247" s="113">
        <v>23142.45</v>
      </c>
      <c r="R247" s="113">
        <f t="shared" si="11"/>
        <v>4.8999999999999998E-3</v>
      </c>
      <c r="S247" s="114"/>
      <c r="T247" s="113">
        <v>4.8999999999999998E-3</v>
      </c>
      <c r="U247" s="114"/>
      <c r="V247" s="114"/>
      <c r="W247" s="114"/>
      <c r="X247" s="114"/>
      <c r="Y247" s="9">
        <f>IFERROR(VLOOKUP(B247,'[1]2122 Veterans Count'!$J:$M,4,FALSE),0)</f>
        <v>0</v>
      </c>
      <c r="Z247" s="97">
        <f t="shared" si="10"/>
        <v>0</v>
      </c>
    </row>
    <row r="248" spans="1:26" x14ac:dyDescent="0.25">
      <c r="A248" s="90" t="s">
        <v>48</v>
      </c>
      <c r="B248" s="91">
        <v>4100209282.7470002</v>
      </c>
      <c r="C248" s="90" t="s">
        <v>297</v>
      </c>
      <c r="D248" s="90" t="s">
        <v>50</v>
      </c>
      <c r="E248" s="90" t="s">
        <v>146</v>
      </c>
      <c r="F248" s="90" t="s">
        <v>293</v>
      </c>
      <c r="G248" s="93"/>
      <c r="H248" s="93"/>
      <c r="I248" s="93"/>
      <c r="J248" s="93"/>
      <c r="K248" s="95">
        <v>179643.46</v>
      </c>
      <c r="L248" s="115"/>
      <c r="M248" s="95">
        <f t="shared" si="9"/>
        <v>179643.46</v>
      </c>
      <c r="N248" s="100">
        <v>0</v>
      </c>
      <c r="O248" s="109"/>
      <c r="P248" s="96"/>
      <c r="Q248" s="95">
        <v>20968.97</v>
      </c>
      <c r="R248" s="95">
        <f t="shared" si="11"/>
        <v>158674.49</v>
      </c>
      <c r="S248" s="96"/>
      <c r="T248" s="95">
        <v>158674.49</v>
      </c>
      <c r="U248" s="96"/>
      <c r="V248" s="96"/>
      <c r="W248" s="96"/>
      <c r="X248" s="96"/>
      <c r="Y248" s="9">
        <f>IFERROR(VLOOKUP(B248,'[1]2122 Veterans Count'!$J:$M,4,FALSE),0)</f>
        <v>0</v>
      </c>
      <c r="Z248" s="97">
        <f t="shared" si="10"/>
        <v>0</v>
      </c>
    </row>
    <row r="249" spans="1:26" x14ac:dyDescent="0.25">
      <c r="A249" s="90" t="s">
        <v>48</v>
      </c>
      <c r="B249" s="91">
        <v>4100226518.7470002</v>
      </c>
      <c r="C249" s="90" t="s">
        <v>298</v>
      </c>
      <c r="D249" s="90" t="s">
        <v>50</v>
      </c>
      <c r="E249" s="90" t="s">
        <v>146</v>
      </c>
      <c r="F249" s="90" t="s">
        <v>293</v>
      </c>
      <c r="G249" s="93"/>
      <c r="H249" s="93"/>
      <c r="I249" s="93"/>
      <c r="J249" s="93"/>
      <c r="K249" s="95">
        <v>-25526.1162</v>
      </c>
      <c r="L249" s="100">
        <v>0</v>
      </c>
      <c r="M249" s="95">
        <f t="shared" si="9"/>
        <v>-25526.1162</v>
      </c>
      <c r="N249" s="109"/>
      <c r="O249" s="109"/>
      <c r="P249" s="109"/>
      <c r="Q249" s="100">
        <v>-26872.3361</v>
      </c>
      <c r="R249" s="95">
        <f t="shared" si="11"/>
        <v>1346.2199000000001</v>
      </c>
      <c r="S249" s="96"/>
      <c r="T249" s="100">
        <v>1346.2199000000001</v>
      </c>
      <c r="U249" s="96"/>
      <c r="V249" s="96"/>
      <c r="W249" s="115"/>
      <c r="X249" s="96"/>
      <c r="Y249" s="9">
        <f>IFERROR(VLOOKUP(B249,'[1]2122 Veterans Count'!$J:$M,4,FALSE),0)</f>
        <v>0</v>
      </c>
      <c r="Z249" s="97">
        <f t="shared" si="10"/>
        <v>0</v>
      </c>
    </row>
    <row r="250" spans="1:26" x14ac:dyDescent="0.25">
      <c r="A250" s="90" t="s">
        <v>48</v>
      </c>
      <c r="B250" s="91">
        <v>4100226802.7470002</v>
      </c>
      <c r="C250" s="90" t="s">
        <v>299</v>
      </c>
      <c r="D250" s="90" t="s">
        <v>50</v>
      </c>
      <c r="E250" s="90" t="s">
        <v>146</v>
      </c>
      <c r="F250" s="90" t="s">
        <v>293</v>
      </c>
      <c r="G250" s="93"/>
      <c r="H250" s="93"/>
      <c r="I250" s="93"/>
      <c r="J250" s="93"/>
      <c r="K250" s="95">
        <v>9610.8451000000005</v>
      </c>
      <c r="L250" s="95">
        <v>0</v>
      </c>
      <c r="M250" s="95">
        <f t="shared" ref="M250:M304" si="12">+K250+L250</f>
        <v>9610.8451000000005</v>
      </c>
      <c r="N250" s="96"/>
      <c r="O250" s="96"/>
      <c r="P250" s="96"/>
      <c r="Q250" s="100">
        <v>8725.3852999999999</v>
      </c>
      <c r="R250" s="95">
        <f t="shared" si="11"/>
        <v>885.45979999999997</v>
      </c>
      <c r="S250" s="96"/>
      <c r="T250" s="100">
        <v>885.45979999999997</v>
      </c>
      <c r="U250" s="96"/>
      <c r="V250" s="96"/>
      <c r="W250" s="115"/>
      <c r="X250" s="96"/>
      <c r="Y250" s="9">
        <f>IFERROR(VLOOKUP(B250,'[1]2122 Veterans Count'!$J:$M,4,FALSE),0)</f>
        <v>0</v>
      </c>
      <c r="Z250" s="97">
        <f t="shared" si="10"/>
        <v>0</v>
      </c>
    </row>
    <row r="251" spans="1:26" x14ac:dyDescent="0.25">
      <c r="A251" s="90" t="s">
        <v>48</v>
      </c>
      <c r="B251" s="91">
        <v>4100415533.7472</v>
      </c>
      <c r="C251" s="90" t="s">
        <v>300</v>
      </c>
      <c r="D251" s="90" t="s">
        <v>301</v>
      </c>
      <c r="E251" s="90" t="s">
        <v>140</v>
      </c>
      <c r="F251" s="90" t="s">
        <v>302</v>
      </c>
      <c r="G251" s="90" t="e">
        <v>#N/A</v>
      </c>
      <c r="H251" s="143" t="s">
        <v>303</v>
      </c>
      <c r="I251" s="143" t="s">
        <v>303</v>
      </c>
      <c r="J251" s="144">
        <f t="shared" ref="J251:J294" si="13">+IFERROR(H251/I251, 0)</f>
        <v>0</v>
      </c>
      <c r="K251" s="95">
        <v>1034.1300000000001</v>
      </c>
      <c r="L251" s="109"/>
      <c r="M251" s="95">
        <f t="shared" si="12"/>
        <v>1034.1300000000001</v>
      </c>
      <c r="N251" s="109"/>
      <c r="O251" s="109"/>
      <c r="P251" s="96"/>
      <c r="Q251" s="115"/>
      <c r="R251" s="95">
        <f t="shared" si="11"/>
        <v>1034.1300000000001</v>
      </c>
      <c r="S251" s="96"/>
      <c r="T251" s="109"/>
      <c r="U251" s="96"/>
      <c r="V251" s="96"/>
      <c r="W251" s="95">
        <v>1034.1300000000001</v>
      </c>
      <c r="X251" s="96"/>
      <c r="Y251" s="9">
        <f>IFERROR(VLOOKUP(B251,'[1]2122 Veterans Count'!$J:$M,4,FALSE),0)</f>
        <v>0</v>
      </c>
      <c r="Z251" s="97">
        <f t="shared" si="10"/>
        <v>0</v>
      </c>
    </row>
    <row r="252" spans="1:26" x14ac:dyDescent="0.25">
      <c r="A252" s="90" t="s">
        <v>48</v>
      </c>
      <c r="B252" s="91">
        <v>4100217514.7472</v>
      </c>
      <c r="C252" s="90" t="s">
        <v>304</v>
      </c>
      <c r="D252" s="90" t="s">
        <v>301</v>
      </c>
      <c r="E252" s="90" t="s">
        <v>140</v>
      </c>
      <c r="F252" s="90" t="s">
        <v>305</v>
      </c>
      <c r="G252" s="90" t="s">
        <v>306</v>
      </c>
      <c r="H252" s="143" t="s">
        <v>303</v>
      </c>
      <c r="I252" s="143" t="s">
        <v>303</v>
      </c>
      <c r="J252" s="144">
        <f t="shared" si="13"/>
        <v>0</v>
      </c>
      <c r="K252" s="95">
        <v>747901.46219999995</v>
      </c>
      <c r="L252" s="100">
        <v>89135.394799999995</v>
      </c>
      <c r="M252" s="95">
        <f t="shared" si="12"/>
        <v>837036.85699999996</v>
      </c>
      <c r="N252" s="100">
        <v>11032.815500000001</v>
      </c>
      <c r="O252" s="100">
        <v>0</v>
      </c>
      <c r="P252" s="100">
        <v>179398.1501</v>
      </c>
      <c r="Q252" s="95">
        <v>644707.12419999996</v>
      </c>
      <c r="R252" s="95">
        <f t="shared" si="11"/>
        <v>1898.7673</v>
      </c>
      <c r="S252" s="96"/>
      <c r="T252" s="109"/>
      <c r="U252" s="96"/>
      <c r="V252" s="96"/>
      <c r="W252" s="95">
        <v>1898.7673</v>
      </c>
      <c r="X252" s="96"/>
      <c r="Y252" s="9">
        <f>IFERROR(VLOOKUP(B252,'[1]2122 Veterans Count'!$J:$M,4,FALSE),0)</f>
        <v>4.8387096774193547E-2</v>
      </c>
      <c r="Z252" s="97">
        <f t="shared" si="10"/>
        <v>91.875837096774191</v>
      </c>
    </row>
    <row r="253" spans="1:26" x14ac:dyDescent="0.25">
      <c r="A253" s="90" t="s">
        <v>48</v>
      </c>
      <c r="B253" s="91">
        <v>4100221357.7472</v>
      </c>
      <c r="C253" s="90" t="s">
        <v>307</v>
      </c>
      <c r="D253" s="90" t="s">
        <v>301</v>
      </c>
      <c r="E253" s="90" t="s">
        <v>140</v>
      </c>
      <c r="F253" s="90" t="s">
        <v>305</v>
      </c>
      <c r="G253" s="90" t="s">
        <v>306</v>
      </c>
      <c r="H253" s="143">
        <v>6831</v>
      </c>
      <c r="I253" s="143">
        <v>7164</v>
      </c>
      <c r="J253" s="144">
        <f t="shared" si="13"/>
        <v>0.95351758793969854</v>
      </c>
      <c r="K253" s="95">
        <v>346651.62</v>
      </c>
      <c r="L253" s="115"/>
      <c r="M253" s="95">
        <f t="shared" si="12"/>
        <v>346651.62</v>
      </c>
      <c r="N253" s="115"/>
      <c r="O253" s="115"/>
      <c r="P253" s="115"/>
      <c r="Q253" s="95">
        <v>0</v>
      </c>
      <c r="R253" s="95">
        <f t="shared" si="11"/>
        <v>346651.62</v>
      </c>
      <c r="S253" s="96"/>
      <c r="T253" s="109"/>
      <c r="U253" s="96"/>
      <c r="V253" s="96"/>
      <c r="W253" s="95">
        <v>346651.62</v>
      </c>
      <c r="X253" s="96"/>
      <c r="Y253" s="9">
        <f>IFERROR(VLOOKUP(B253,'[1]2122 Veterans Count'!$J:$M,4,FALSE),0)</f>
        <v>0</v>
      </c>
      <c r="Z253" s="97">
        <f t="shared" si="10"/>
        <v>0</v>
      </c>
    </row>
    <row r="254" spans="1:26" x14ac:dyDescent="0.25">
      <c r="A254" s="90" t="s">
        <v>48</v>
      </c>
      <c r="B254" s="91">
        <v>4100221358.7472</v>
      </c>
      <c r="C254" s="90" t="s">
        <v>308</v>
      </c>
      <c r="D254" s="90" t="s">
        <v>301</v>
      </c>
      <c r="E254" s="90" t="s">
        <v>140</v>
      </c>
      <c r="F254" s="90" t="s">
        <v>305</v>
      </c>
      <c r="G254" s="90" t="s">
        <v>306</v>
      </c>
      <c r="H254" s="143">
        <v>395</v>
      </c>
      <c r="I254" s="143">
        <v>762</v>
      </c>
      <c r="J254" s="144">
        <f t="shared" si="13"/>
        <v>0.51837270341207353</v>
      </c>
      <c r="K254" s="95">
        <v>264901.61</v>
      </c>
      <c r="L254" s="96"/>
      <c r="M254" s="95">
        <f t="shared" si="12"/>
        <v>264901.61</v>
      </c>
      <c r="N254" s="109"/>
      <c r="O254" s="96"/>
      <c r="P254" s="96"/>
      <c r="Q254" s="95">
        <v>0</v>
      </c>
      <c r="R254" s="95">
        <f t="shared" si="11"/>
        <v>264901.61</v>
      </c>
      <c r="S254" s="96"/>
      <c r="T254" s="109"/>
      <c r="U254" s="96"/>
      <c r="V254" s="96"/>
      <c r="W254" s="95">
        <v>264901.61</v>
      </c>
      <c r="X254" s="96"/>
      <c r="Y254" s="9">
        <f>IFERROR(VLOOKUP(B254,'[1]2122 Veterans Count'!$J:$M,4,FALSE),0)</f>
        <v>0</v>
      </c>
      <c r="Z254" s="97">
        <f t="shared" si="10"/>
        <v>0</v>
      </c>
    </row>
    <row r="255" spans="1:26" x14ac:dyDescent="0.25">
      <c r="A255" s="90" t="s">
        <v>48</v>
      </c>
      <c r="B255" s="91">
        <v>4100221359.7472</v>
      </c>
      <c r="C255" s="90" t="s">
        <v>309</v>
      </c>
      <c r="D255" s="90" t="s">
        <v>301</v>
      </c>
      <c r="E255" s="90" t="s">
        <v>140</v>
      </c>
      <c r="F255" s="90" t="s">
        <v>305</v>
      </c>
      <c r="G255" s="90" t="s">
        <v>306</v>
      </c>
      <c r="H255" s="143">
        <v>111</v>
      </c>
      <c r="I255" s="143">
        <v>286</v>
      </c>
      <c r="J255" s="144">
        <f t="shared" si="13"/>
        <v>0.38811188811188813</v>
      </c>
      <c r="K255" s="95">
        <v>118224.57</v>
      </c>
      <c r="L255" s="96"/>
      <c r="M255" s="95">
        <f t="shared" si="12"/>
        <v>118224.57</v>
      </c>
      <c r="N255" s="96"/>
      <c r="O255" s="96"/>
      <c r="P255" s="96"/>
      <c r="Q255" s="95">
        <v>0</v>
      </c>
      <c r="R255" s="95">
        <f t="shared" si="11"/>
        <v>118224.57</v>
      </c>
      <c r="S255" s="96"/>
      <c r="T255" s="109"/>
      <c r="U255" s="96"/>
      <c r="V255" s="96"/>
      <c r="W255" s="95">
        <v>118224.57</v>
      </c>
      <c r="X255" s="96"/>
      <c r="Y255" s="9">
        <f>IFERROR(VLOOKUP(B255,'[1]2122 Veterans Count'!$J:$M,4,FALSE),0)</f>
        <v>0</v>
      </c>
      <c r="Z255" s="97">
        <f t="shared" si="10"/>
        <v>0</v>
      </c>
    </row>
    <row r="256" spans="1:26" x14ac:dyDescent="0.25">
      <c r="A256" s="90" t="s">
        <v>48</v>
      </c>
      <c r="B256" s="91">
        <v>4100221360.7472</v>
      </c>
      <c r="C256" s="90" t="s">
        <v>310</v>
      </c>
      <c r="D256" s="90" t="s">
        <v>301</v>
      </c>
      <c r="E256" s="90" t="s">
        <v>140</v>
      </c>
      <c r="F256" s="90" t="s">
        <v>305</v>
      </c>
      <c r="G256" s="90" t="s">
        <v>306</v>
      </c>
      <c r="H256" s="143">
        <v>1117</v>
      </c>
      <c r="I256" s="143">
        <v>1169</v>
      </c>
      <c r="J256" s="144">
        <f t="shared" si="13"/>
        <v>0.95551753635585968</v>
      </c>
      <c r="K256" s="95">
        <v>287922.23</v>
      </c>
      <c r="L256" s="96"/>
      <c r="M256" s="95">
        <f t="shared" si="12"/>
        <v>287922.23</v>
      </c>
      <c r="N256" s="96"/>
      <c r="O256" s="96"/>
      <c r="P256" s="96"/>
      <c r="Q256" s="95">
        <v>0</v>
      </c>
      <c r="R256" s="95">
        <f t="shared" si="11"/>
        <v>287922.23</v>
      </c>
      <c r="S256" s="96"/>
      <c r="T256" s="109"/>
      <c r="U256" s="96"/>
      <c r="V256" s="96"/>
      <c r="W256" s="95">
        <v>287922.23</v>
      </c>
      <c r="X256" s="96"/>
      <c r="Y256" s="9">
        <f>IFERROR(VLOOKUP(B256,'[1]2122 Veterans Count'!$J:$M,4,FALSE),0)</f>
        <v>0</v>
      </c>
      <c r="Z256" s="97">
        <f t="shared" si="10"/>
        <v>0</v>
      </c>
    </row>
    <row r="257" spans="1:26" x14ac:dyDescent="0.25">
      <c r="A257" s="90" t="s">
        <v>48</v>
      </c>
      <c r="B257" s="91">
        <v>4100221361.7472</v>
      </c>
      <c r="C257" s="90" t="s">
        <v>311</v>
      </c>
      <c r="D257" s="90" t="s">
        <v>301</v>
      </c>
      <c r="E257" s="90" t="s">
        <v>140</v>
      </c>
      <c r="F257" s="90" t="s">
        <v>305</v>
      </c>
      <c r="G257" s="90" t="s">
        <v>306</v>
      </c>
      <c r="H257" s="143">
        <v>314</v>
      </c>
      <c r="I257" s="143">
        <v>921</v>
      </c>
      <c r="J257" s="144">
        <f t="shared" si="13"/>
        <v>0.34093376764386535</v>
      </c>
      <c r="K257" s="95">
        <v>208906</v>
      </c>
      <c r="L257" s="96"/>
      <c r="M257" s="95">
        <f t="shared" si="12"/>
        <v>208906</v>
      </c>
      <c r="N257" s="96"/>
      <c r="O257" s="96"/>
      <c r="P257" s="96"/>
      <c r="Q257" s="95">
        <v>0</v>
      </c>
      <c r="R257" s="95">
        <f t="shared" si="11"/>
        <v>208906</v>
      </c>
      <c r="S257" s="96"/>
      <c r="T257" s="109"/>
      <c r="U257" s="96"/>
      <c r="V257" s="96"/>
      <c r="W257" s="95">
        <v>208906</v>
      </c>
      <c r="X257" s="96"/>
      <c r="Y257" s="9">
        <f>IFERROR(VLOOKUP(B257,'[1]2122 Veterans Count'!$J:$M,4,FALSE),0)</f>
        <v>0</v>
      </c>
      <c r="Z257" s="97">
        <f t="shared" si="10"/>
        <v>0</v>
      </c>
    </row>
    <row r="258" spans="1:26" x14ac:dyDescent="0.25">
      <c r="A258" s="90" t="s">
        <v>48</v>
      </c>
      <c r="B258" s="91">
        <v>4100221533.7472</v>
      </c>
      <c r="C258" s="90" t="s">
        <v>312</v>
      </c>
      <c r="D258" s="90" t="s">
        <v>301</v>
      </c>
      <c r="E258" s="90" t="s">
        <v>140</v>
      </c>
      <c r="F258" s="90" t="s">
        <v>305</v>
      </c>
      <c r="G258" s="90" t="s">
        <v>313</v>
      </c>
      <c r="H258" s="143">
        <v>0</v>
      </c>
      <c r="I258" s="143">
        <v>0</v>
      </c>
      <c r="J258" s="144">
        <f t="shared" si="13"/>
        <v>0</v>
      </c>
      <c r="K258" s="95">
        <v>976246.17370000004</v>
      </c>
      <c r="L258" s="95">
        <v>356599.53080000001</v>
      </c>
      <c r="M258" s="95">
        <f t="shared" si="12"/>
        <v>1332845.7045</v>
      </c>
      <c r="N258" s="115"/>
      <c r="O258" s="115"/>
      <c r="P258" s="115"/>
      <c r="Q258" s="95">
        <v>5668.65</v>
      </c>
      <c r="R258" s="100">
        <f t="shared" si="11"/>
        <v>1327177.0545000001</v>
      </c>
      <c r="S258" s="96"/>
      <c r="T258" s="109"/>
      <c r="U258" s="96"/>
      <c r="V258" s="96"/>
      <c r="W258" s="95">
        <v>1327177.0545000001</v>
      </c>
      <c r="X258" s="96"/>
      <c r="Y258" s="9">
        <f>IFERROR(VLOOKUP(B258,'[1]2122 Veterans Count'!$J:$M,4,FALSE),0)</f>
        <v>0</v>
      </c>
      <c r="Z258" s="97">
        <f t="shared" si="10"/>
        <v>0</v>
      </c>
    </row>
    <row r="259" spans="1:26" x14ac:dyDescent="0.25">
      <c r="A259" s="90" t="s">
        <v>48</v>
      </c>
      <c r="B259" s="91">
        <v>4100221535.7472</v>
      </c>
      <c r="C259" s="90" t="s">
        <v>314</v>
      </c>
      <c r="D259" s="90" t="s">
        <v>301</v>
      </c>
      <c r="E259" s="90" t="s">
        <v>140</v>
      </c>
      <c r="F259" s="90" t="s">
        <v>305</v>
      </c>
      <c r="G259" s="90" t="s">
        <v>313</v>
      </c>
      <c r="H259" s="143">
        <v>45657</v>
      </c>
      <c r="I259" s="143">
        <v>80203</v>
      </c>
      <c r="J259" s="144">
        <f t="shared" si="13"/>
        <v>0.56926798249442045</v>
      </c>
      <c r="K259" s="95">
        <f>11985109.6+6480554</f>
        <v>18465663.600000001</v>
      </c>
      <c r="L259" s="95">
        <v>1242057.9691000001</v>
      </c>
      <c r="M259" s="95">
        <f t="shared" si="12"/>
        <v>19707721.5691</v>
      </c>
      <c r="N259" s="96"/>
      <c r="O259" s="96"/>
      <c r="P259" s="96"/>
      <c r="Q259" s="109"/>
      <c r="R259" s="95">
        <f t="shared" si="11"/>
        <v>19707721.5691</v>
      </c>
      <c r="S259" s="96"/>
      <c r="T259" s="109"/>
      <c r="U259" s="96"/>
      <c r="V259" s="96"/>
      <c r="W259" s="95">
        <f>13227167.5691+6480554</f>
        <v>19707721.5691</v>
      </c>
      <c r="X259" s="96"/>
      <c r="Y259" s="9">
        <f>IFERROR(VLOOKUP(B259,'[1]2122 Veterans Count'!$J:$M,4,FALSE),0)</f>
        <v>0</v>
      </c>
      <c r="Z259" s="97">
        <f t="shared" si="10"/>
        <v>0</v>
      </c>
    </row>
    <row r="260" spans="1:26" x14ac:dyDescent="0.25">
      <c r="A260" s="90" t="s">
        <v>48</v>
      </c>
      <c r="B260" s="91">
        <v>4100221970.7472</v>
      </c>
      <c r="C260" s="90" t="s">
        <v>315</v>
      </c>
      <c r="D260" s="90" t="s">
        <v>301</v>
      </c>
      <c r="E260" s="90" t="s">
        <v>140</v>
      </c>
      <c r="F260" s="90" t="s">
        <v>305</v>
      </c>
      <c r="G260" s="90" t="s">
        <v>313</v>
      </c>
      <c r="H260" s="143">
        <v>0</v>
      </c>
      <c r="I260" s="143">
        <v>470</v>
      </c>
      <c r="J260" s="144">
        <f t="shared" si="13"/>
        <v>0</v>
      </c>
      <c r="K260" s="95">
        <v>48971.6682</v>
      </c>
      <c r="L260" s="95">
        <v>27015.190299999998</v>
      </c>
      <c r="M260" s="95">
        <f t="shared" si="12"/>
        <v>75986.858500000002</v>
      </c>
      <c r="N260" s="96"/>
      <c r="O260" s="96"/>
      <c r="P260" s="96"/>
      <c r="Q260" s="96"/>
      <c r="R260" s="95">
        <f t="shared" si="11"/>
        <v>75986.858500000002</v>
      </c>
      <c r="S260" s="96"/>
      <c r="T260" s="96"/>
      <c r="U260" s="96"/>
      <c r="V260" s="96"/>
      <c r="W260" s="95">
        <v>75986.858500000002</v>
      </c>
      <c r="X260" s="96"/>
      <c r="Y260" s="9">
        <f>IFERROR(VLOOKUP(B260,'[1]2122 Veterans Count'!$J:$M,4,FALSE),0)</f>
        <v>0</v>
      </c>
      <c r="Z260" s="97">
        <f t="shared" si="10"/>
        <v>0</v>
      </c>
    </row>
    <row r="261" spans="1:26" x14ac:dyDescent="0.25">
      <c r="A261" s="90" t="s">
        <v>48</v>
      </c>
      <c r="B261" s="91">
        <v>4100221012.7472</v>
      </c>
      <c r="C261" s="90" t="s">
        <v>316</v>
      </c>
      <c r="D261" s="90" t="s">
        <v>301</v>
      </c>
      <c r="E261" s="90" t="s">
        <v>140</v>
      </c>
      <c r="F261" s="90" t="s">
        <v>305</v>
      </c>
      <c r="G261" s="90" t="s">
        <v>317</v>
      </c>
      <c r="H261" s="143">
        <v>199</v>
      </c>
      <c r="I261" s="143">
        <v>4985</v>
      </c>
      <c r="J261" s="144">
        <f t="shared" si="13"/>
        <v>3.9919759277833498E-2</v>
      </c>
      <c r="K261" s="95">
        <v>238129.14</v>
      </c>
      <c r="L261" s="109"/>
      <c r="M261" s="95">
        <f t="shared" si="12"/>
        <v>238129.14</v>
      </c>
      <c r="N261" s="109"/>
      <c r="O261" s="109"/>
      <c r="P261" s="96"/>
      <c r="Q261" s="95">
        <v>0</v>
      </c>
      <c r="R261" s="95">
        <f t="shared" si="11"/>
        <v>238129.14</v>
      </c>
      <c r="S261" s="96"/>
      <c r="T261" s="109"/>
      <c r="U261" s="96"/>
      <c r="V261" s="96"/>
      <c r="W261" s="95">
        <v>238129.14</v>
      </c>
      <c r="X261" s="96"/>
      <c r="Y261" s="9">
        <f>IFERROR(VLOOKUP(B261,'[1]2122 Veterans Count'!$J:$M,4,FALSE),0)</f>
        <v>0</v>
      </c>
      <c r="Z261" s="97">
        <f t="shared" si="10"/>
        <v>0</v>
      </c>
    </row>
    <row r="262" spans="1:26" x14ac:dyDescent="0.25">
      <c r="A262" s="90" t="s">
        <v>48</v>
      </c>
      <c r="B262" s="91">
        <v>4100207544.7472</v>
      </c>
      <c r="C262" s="90" t="s">
        <v>318</v>
      </c>
      <c r="D262" s="90" t="s">
        <v>301</v>
      </c>
      <c r="E262" s="90" t="s">
        <v>140</v>
      </c>
      <c r="F262" s="90" t="s">
        <v>319</v>
      </c>
      <c r="G262" s="90" t="s">
        <v>320</v>
      </c>
      <c r="H262" s="143" t="s">
        <v>303</v>
      </c>
      <c r="I262" s="143" t="s">
        <v>303</v>
      </c>
      <c r="J262" s="144">
        <f t="shared" si="13"/>
        <v>0</v>
      </c>
      <c r="K262" s="95">
        <v>399045.15639999998</v>
      </c>
      <c r="L262" s="100">
        <v>149709.17929999999</v>
      </c>
      <c r="M262" s="95">
        <f t="shared" si="12"/>
        <v>548754.33569999994</v>
      </c>
      <c r="N262" s="100">
        <v>92431.180500000002</v>
      </c>
      <c r="O262" s="100">
        <v>0</v>
      </c>
      <c r="P262" s="96"/>
      <c r="Q262" s="95">
        <v>57418.619400000003</v>
      </c>
      <c r="R262" s="95">
        <f t="shared" si="11"/>
        <v>398904.53580000001</v>
      </c>
      <c r="S262" s="96"/>
      <c r="T262" s="109"/>
      <c r="U262" s="96"/>
      <c r="V262" s="96"/>
      <c r="W262" s="95">
        <v>398904.53580000001</v>
      </c>
      <c r="X262" s="96"/>
      <c r="Y262" s="9">
        <f>IFERROR(VLOOKUP(B262,'[1]2122 Veterans Count'!$J:$M,4,FALSE),0)</f>
        <v>0</v>
      </c>
      <c r="Z262" s="97">
        <f t="shared" si="10"/>
        <v>0</v>
      </c>
    </row>
    <row r="263" spans="1:26" x14ac:dyDescent="0.25">
      <c r="A263" s="90" t="s">
        <v>48</v>
      </c>
      <c r="B263" s="91">
        <v>4100207545.7472</v>
      </c>
      <c r="C263" s="90" t="s">
        <v>321</v>
      </c>
      <c r="D263" s="90" t="s">
        <v>301</v>
      </c>
      <c r="E263" s="90" t="s">
        <v>140</v>
      </c>
      <c r="F263" s="90" t="s">
        <v>319</v>
      </c>
      <c r="G263" s="90" t="s">
        <v>320</v>
      </c>
      <c r="H263" s="143" t="s">
        <v>303</v>
      </c>
      <c r="I263" s="143" t="s">
        <v>303</v>
      </c>
      <c r="J263" s="144">
        <f t="shared" si="13"/>
        <v>0</v>
      </c>
      <c r="K263" s="95">
        <v>204289.8941</v>
      </c>
      <c r="L263" s="95">
        <v>75917.369699999996</v>
      </c>
      <c r="M263" s="95">
        <f t="shared" si="12"/>
        <v>280207.26380000002</v>
      </c>
      <c r="N263" s="95">
        <v>17305.7232</v>
      </c>
      <c r="O263" s="95">
        <v>0</v>
      </c>
      <c r="P263" s="96"/>
      <c r="Q263" s="95">
        <v>11079.718999999999</v>
      </c>
      <c r="R263" s="95">
        <f t="shared" si="11"/>
        <v>251821.8216</v>
      </c>
      <c r="S263" s="96"/>
      <c r="T263" s="109"/>
      <c r="U263" s="96"/>
      <c r="V263" s="96"/>
      <c r="W263" s="95">
        <v>251821.8216</v>
      </c>
      <c r="X263" s="96"/>
      <c r="Y263" s="9">
        <f>IFERROR(VLOOKUP(B263,'[1]2122 Veterans Count'!$J:$M,4,FALSE),0)</f>
        <v>0</v>
      </c>
      <c r="Z263" s="97">
        <f t="shared" si="10"/>
        <v>0</v>
      </c>
    </row>
    <row r="264" spans="1:26" x14ac:dyDescent="0.25">
      <c r="A264" s="90" t="s">
        <v>48</v>
      </c>
      <c r="B264" s="91">
        <v>4100207546.7472</v>
      </c>
      <c r="C264" s="90" t="s">
        <v>322</v>
      </c>
      <c r="D264" s="90" t="s">
        <v>301</v>
      </c>
      <c r="E264" s="90" t="s">
        <v>140</v>
      </c>
      <c r="F264" s="90" t="s">
        <v>319</v>
      </c>
      <c r="G264" s="90" t="s">
        <v>320</v>
      </c>
      <c r="H264" s="143">
        <v>150</v>
      </c>
      <c r="I264" s="143">
        <v>150</v>
      </c>
      <c r="J264" s="144">
        <f t="shared" si="13"/>
        <v>1</v>
      </c>
      <c r="K264" s="95">
        <v>285249.54519999999</v>
      </c>
      <c r="L264" s="95">
        <v>107494.0799</v>
      </c>
      <c r="M264" s="95">
        <f t="shared" si="12"/>
        <v>392743.6251</v>
      </c>
      <c r="N264" s="95">
        <v>45256.603999999999</v>
      </c>
      <c r="O264" s="95">
        <v>0</v>
      </c>
      <c r="P264" s="96"/>
      <c r="Q264" s="95">
        <v>31012.845499999999</v>
      </c>
      <c r="R264" s="95">
        <f t="shared" si="11"/>
        <v>316474.17560000002</v>
      </c>
      <c r="S264" s="96"/>
      <c r="T264" s="109"/>
      <c r="U264" s="96"/>
      <c r="V264" s="96"/>
      <c r="W264" s="95">
        <v>316474.17560000002</v>
      </c>
      <c r="X264" s="96"/>
      <c r="Y264" s="9">
        <f>IFERROR(VLOOKUP(B264,'[1]2122 Veterans Count'!$J:$M,4,FALSE),0)</f>
        <v>0</v>
      </c>
      <c r="Z264" s="97">
        <f t="shared" si="10"/>
        <v>0</v>
      </c>
    </row>
    <row r="265" spans="1:26" x14ac:dyDescent="0.25">
      <c r="A265" s="90" t="s">
        <v>48</v>
      </c>
      <c r="B265" s="91">
        <v>4100207697.7472</v>
      </c>
      <c r="C265" s="90" t="s">
        <v>323</v>
      </c>
      <c r="D265" s="90" t="s">
        <v>301</v>
      </c>
      <c r="E265" s="90" t="s">
        <v>140</v>
      </c>
      <c r="F265" s="90" t="s">
        <v>319</v>
      </c>
      <c r="G265" s="90" t="s">
        <v>320</v>
      </c>
      <c r="H265" s="143" t="s">
        <v>303</v>
      </c>
      <c r="I265" s="143" t="s">
        <v>303</v>
      </c>
      <c r="J265" s="144">
        <f t="shared" si="13"/>
        <v>0</v>
      </c>
      <c r="K265" s="95">
        <v>2329890.3147999998</v>
      </c>
      <c r="L265" s="95">
        <v>685186.82490000001</v>
      </c>
      <c r="M265" s="95">
        <f t="shared" si="12"/>
        <v>3015077.1396999997</v>
      </c>
      <c r="N265" s="95">
        <v>600494.64350000001</v>
      </c>
      <c r="O265" s="95">
        <v>0</v>
      </c>
      <c r="P265" s="96"/>
      <c r="Q265" s="95">
        <v>1503703.3307</v>
      </c>
      <c r="R265" s="95">
        <f t="shared" si="11"/>
        <v>910879.16540000006</v>
      </c>
      <c r="S265" s="96"/>
      <c r="T265" s="109"/>
      <c r="U265" s="96"/>
      <c r="V265" s="96"/>
      <c r="W265" s="95">
        <v>910879.16540000006</v>
      </c>
      <c r="X265" s="96"/>
      <c r="Y265" s="9">
        <f>IFERROR(VLOOKUP(B265,'[1]2122 Veterans Count'!$J:$M,4,FALSE),0)</f>
        <v>0</v>
      </c>
      <c r="Z265" s="97">
        <f t="shared" si="10"/>
        <v>0</v>
      </c>
    </row>
    <row r="266" spans="1:26" x14ac:dyDescent="0.25">
      <c r="A266" s="90" t="s">
        <v>48</v>
      </c>
      <c r="B266" s="91">
        <v>4100221395.7472</v>
      </c>
      <c r="C266" s="90" t="s">
        <v>324</v>
      </c>
      <c r="D266" s="90" t="s">
        <v>301</v>
      </c>
      <c r="E266" s="90" t="s">
        <v>140</v>
      </c>
      <c r="F266" s="90" t="s">
        <v>319</v>
      </c>
      <c r="G266" s="90" t="s">
        <v>320</v>
      </c>
      <c r="H266" s="143" t="s">
        <v>303</v>
      </c>
      <c r="I266" s="143" t="s">
        <v>303</v>
      </c>
      <c r="J266" s="144">
        <f t="shared" si="13"/>
        <v>0</v>
      </c>
      <c r="K266" s="95">
        <v>67264.06</v>
      </c>
      <c r="L266" s="115"/>
      <c r="M266" s="95">
        <f t="shared" si="12"/>
        <v>67264.06</v>
      </c>
      <c r="N266" s="115"/>
      <c r="O266" s="115"/>
      <c r="P266" s="96"/>
      <c r="Q266" s="95">
        <v>0</v>
      </c>
      <c r="R266" s="95">
        <f t="shared" si="11"/>
        <v>67264.06</v>
      </c>
      <c r="S266" s="96"/>
      <c r="T266" s="109"/>
      <c r="U266" s="96"/>
      <c r="V266" s="96"/>
      <c r="W266" s="95">
        <v>67264.06</v>
      </c>
      <c r="X266" s="96"/>
      <c r="Y266" s="9">
        <f>IFERROR(VLOOKUP(B266,'[1]2122 Veterans Count'!$J:$M,4,FALSE),0)</f>
        <v>0</v>
      </c>
      <c r="Z266" s="97">
        <f t="shared" si="10"/>
        <v>0</v>
      </c>
    </row>
    <row r="267" spans="1:26" x14ac:dyDescent="0.25">
      <c r="A267" s="90" t="s">
        <v>48</v>
      </c>
      <c r="B267" s="91">
        <v>4100221141.7472</v>
      </c>
      <c r="C267" s="90" t="s">
        <v>325</v>
      </c>
      <c r="D267" s="90" t="s">
        <v>301</v>
      </c>
      <c r="E267" s="90" t="s">
        <v>140</v>
      </c>
      <c r="F267" s="90" t="s">
        <v>319</v>
      </c>
      <c r="G267" s="90" t="s">
        <v>326</v>
      </c>
      <c r="H267" s="143" t="s">
        <v>303</v>
      </c>
      <c r="I267" s="143" t="s">
        <v>303</v>
      </c>
      <c r="J267" s="144">
        <f t="shared" si="13"/>
        <v>0</v>
      </c>
      <c r="K267" s="95">
        <v>255514.95</v>
      </c>
      <c r="L267" s="109"/>
      <c r="M267" s="95">
        <f t="shared" si="12"/>
        <v>255514.95</v>
      </c>
      <c r="N267" s="109"/>
      <c r="O267" s="109"/>
      <c r="P267" s="96"/>
      <c r="Q267" s="95">
        <v>0</v>
      </c>
      <c r="R267" s="95">
        <f t="shared" si="11"/>
        <v>255514.95</v>
      </c>
      <c r="S267" s="96"/>
      <c r="T267" s="109"/>
      <c r="U267" s="96"/>
      <c r="V267" s="96"/>
      <c r="W267" s="95">
        <v>255514.95</v>
      </c>
      <c r="X267" s="96"/>
      <c r="Y267" s="9">
        <f>IFERROR(VLOOKUP(B267,'[1]2122 Veterans Count'!$J:$M,4,FALSE),0)</f>
        <v>0</v>
      </c>
      <c r="Z267" s="97">
        <f t="shared" si="10"/>
        <v>0</v>
      </c>
    </row>
    <row r="268" spans="1:26" x14ac:dyDescent="0.25">
      <c r="A268" s="90" t="s">
        <v>48</v>
      </c>
      <c r="B268" s="91">
        <v>4100221203.7472</v>
      </c>
      <c r="C268" s="90" t="s">
        <v>327</v>
      </c>
      <c r="D268" s="90" t="s">
        <v>301</v>
      </c>
      <c r="E268" s="90" t="s">
        <v>140</v>
      </c>
      <c r="F268" s="90" t="s">
        <v>319</v>
      </c>
      <c r="G268" s="90" t="s">
        <v>326</v>
      </c>
      <c r="H268" s="143">
        <v>198</v>
      </c>
      <c r="I268" s="143">
        <v>198</v>
      </c>
      <c r="J268" s="144">
        <f t="shared" si="13"/>
        <v>1</v>
      </c>
      <c r="K268" s="95">
        <v>193878.01</v>
      </c>
      <c r="L268" s="109"/>
      <c r="M268" s="95">
        <f t="shared" si="12"/>
        <v>193878.01</v>
      </c>
      <c r="N268" s="109"/>
      <c r="O268" s="109"/>
      <c r="P268" s="96"/>
      <c r="Q268" s="95">
        <v>25255.01</v>
      </c>
      <c r="R268" s="95">
        <f t="shared" si="11"/>
        <v>168623</v>
      </c>
      <c r="S268" s="96"/>
      <c r="T268" s="109"/>
      <c r="U268" s="96"/>
      <c r="V268" s="96"/>
      <c r="W268" s="95">
        <v>168623</v>
      </c>
      <c r="X268" s="96"/>
      <c r="Y268" s="9">
        <f>IFERROR(VLOOKUP(B268,'[1]2122 Veterans Count'!$J:$M,4,FALSE),0)</f>
        <v>0</v>
      </c>
      <c r="Z268" s="97">
        <f t="shared" si="10"/>
        <v>0</v>
      </c>
    </row>
    <row r="269" spans="1:26" x14ac:dyDescent="0.25">
      <c r="A269" s="90" t="s">
        <v>48</v>
      </c>
      <c r="B269" s="91">
        <v>4100221257.7472</v>
      </c>
      <c r="C269" s="90" t="s">
        <v>328</v>
      </c>
      <c r="D269" s="90" t="s">
        <v>301</v>
      </c>
      <c r="E269" s="90" t="s">
        <v>140</v>
      </c>
      <c r="F269" s="90" t="s">
        <v>319</v>
      </c>
      <c r="G269" s="90" t="s">
        <v>326</v>
      </c>
      <c r="H269" s="143">
        <v>450</v>
      </c>
      <c r="I269" s="143">
        <v>450</v>
      </c>
      <c r="J269" s="144">
        <f t="shared" si="13"/>
        <v>1</v>
      </c>
      <c r="K269" s="95">
        <v>196508.55</v>
      </c>
      <c r="L269" s="96"/>
      <c r="M269" s="95">
        <f t="shared" si="12"/>
        <v>196508.55</v>
      </c>
      <c r="N269" s="96"/>
      <c r="O269" s="109"/>
      <c r="P269" s="96"/>
      <c r="Q269" s="95">
        <v>0</v>
      </c>
      <c r="R269" s="95">
        <f t="shared" si="11"/>
        <v>196508.55</v>
      </c>
      <c r="S269" s="96"/>
      <c r="T269" s="109"/>
      <c r="U269" s="96"/>
      <c r="V269" s="96"/>
      <c r="W269" s="95">
        <v>196508.55</v>
      </c>
      <c r="X269" s="96"/>
      <c r="Y269" s="9">
        <f>IFERROR(VLOOKUP(B269,'[1]2122 Veterans Count'!$J:$M,4,FALSE),0)</f>
        <v>0</v>
      </c>
      <c r="Z269" s="97">
        <f t="shared" si="10"/>
        <v>0</v>
      </c>
    </row>
    <row r="270" spans="1:26" x14ac:dyDescent="0.25">
      <c r="A270" s="90" t="s">
        <v>48</v>
      </c>
      <c r="B270" s="91">
        <v>4100221383.7472</v>
      </c>
      <c r="C270" s="90" t="s">
        <v>329</v>
      </c>
      <c r="D270" s="90" t="s">
        <v>301</v>
      </c>
      <c r="E270" s="90" t="s">
        <v>140</v>
      </c>
      <c r="F270" s="90" t="s">
        <v>319</v>
      </c>
      <c r="G270" s="90" t="s">
        <v>326</v>
      </c>
      <c r="H270" s="143" t="s">
        <v>303</v>
      </c>
      <c r="I270" s="143" t="s">
        <v>303</v>
      </c>
      <c r="J270" s="144">
        <f t="shared" si="13"/>
        <v>0</v>
      </c>
      <c r="K270" s="95">
        <v>224569.1</v>
      </c>
      <c r="L270" s="96"/>
      <c r="M270" s="95">
        <f t="shared" si="12"/>
        <v>224569.1</v>
      </c>
      <c r="N270" s="96"/>
      <c r="O270" s="96"/>
      <c r="P270" s="96"/>
      <c r="Q270" s="95">
        <v>0</v>
      </c>
      <c r="R270" s="95">
        <f t="shared" si="11"/>
        <v>224569.1</v>
      </c>
      <c r="S270" s="96"/>
      <c r="T270" s="109"/>
      <c r="U270" s="96"/>
      <c r="V270" s="96"/>
      <c r="W270" s="95">
        <v>224569.1</v>
      </c>
      <c r="X270" s="96"/>
      <c r="Y270" s="9">
        <f>IFERROR(VLOOKUP(B270,'[1]2122 Veterans Count'!$J:$M,4,FALSE),0)</f>
        <v>0</v>
      </c>
      <c r="Z270" s="97">
        <f t="shared" si="10"/>
        <v>0</v>
      </c>
    </row>
    <row r="271" spans="1:26" x14ac:dyDescent="0.25">
      <c r="A271" s="90" t="s">
        <v>48</v>
      </c>
      <c r="B271" s="91">
        <v>4100221384.7472</v>
      </c>
      <c r="C271" s="90" t="s">
        <v>330</v>
      </c>
      <c r="D271" s="90" t="s">
        <v>301</v>
      </c>
      <c r="E271" s="90" t="s">
        <v>140</v>
      </c>
      <c r="F271" s="90" t="s">
        <v>319</v>
      </c>
      <c r="G271" s="90" t="s">
        <v>326</v>
      </c>
      <c r="H271" s="143" t="s">
        <v>303</v>
      </c>
      <c r="I271" s="143" t="s">
        <v>303</v>
      </c>
      <c r="J271" s="144">
        <f t="shared" si="13"/>
        <v>0</v>
      </c>
      <c r="K271" s="95">
        <v>214299.94</v>
      </c>
      <c r="L271" s="115"/>
      <c r="M271" s="95">
        <f t="shared" si="12"/>
        <v>214299.94</v>
      </c>
      <c r="N271" s="96"/>
      <c r="O271" s="96"/>
      <c r="P271" s="96"/>
      <c r="Q271" s="100">
        <v>0</v>
      </c>
      <c r="R271" s="95">
        <f t="shared" si="11"/>
        <v>214299.94</v>
      </c>
      <c r="S271" s="96"/>
      <c r="T271" s="109"/>
      <c r="U271" s="96"/>
      <c r="V271" s="96"/>
      <c r="W271" s="95">
        <v>214299.94</v>
      </c>
      <c r="X271" s="96"/>
      <c r="Y271" s="9">
        <f>IFERROR(VLOOKUP(B271,'[1]2122 Veterans Count'!$J:$M,4,FALSE),0)</f>
        <v>0</v>
      </c>
      <c r="Z271" s="97">
        <f t="shared" si="10"/>
        <v>0</v>
      </c>
    </row>
    <row r="272" spans="1:26" x14ac:dyDescent="0.25">
      <c r="A272" s="90" t="s">
        <v>48</v>
      </c>
      <c r="B272" s="91">
        <v>4100221536.7472</v>
      </c>
      <c r="C272" s="90" t="s">
        <v>331</v>
      </c>
      <c r="D272" s="90" t="s">
        <v>301</v>
      </c>
      <c r="E272" s="90" t="s">
        <v>140</v>
      </c>
      <c r="F272" s="90" t="s">
        <v>319</v>
      </c>
      <c r="G272" s="90" t="s">
        <v>326</v>
      </c>
      <c r="H272" s="143" t="s">
        <v>303</v>
      </c>
      <c r="I272" s="143" t="s">
        <v>303</v>
      </c>
      <c r="J272" s="144">
        <f t="shared" si="13"/>
        <v>0</v>
      </c>
      <c r="K272" s="95">
        <v>6538.82</v>
      </c>
      <c r="L272" s="100">
        <v>190.53100000000001</v>
      </c>
      <c r="M272" s="95">
        <f t="shared" si="12"/>
        <v>6729.3509999999997</v>
      </c>
      <c r="N272" s="109"/>
      <c r="O272" s="109"/>
      <c r="P272" s="96"/>
      <c r="Q272" s="115"/>
      <c r="R272" s="95">
        <f t="shared" si="11"/>
        <v>6729.3509999999997</v>
      </c>
      <c r="S272" s="96"/>
      <c r="T272" s="109"/>
      <c r="U272" s="96"/>
      <c r="V272" s="96"/>
      <c r="W272" s="95">
        <v>6729.3509999999997</v>
      </c>
      <c r="X272" s="96"/>
      <c r="Y272" s="9">
        <f>IFERROR(VLOOKUP(B272,'[1]2122 Veterans Count'!$J:$M,4,FALSE),0)</f>
        <v>0</v>
      </c>
      <c r="Z272" s="97">
        <f t="shared" ref="Z272:Z303" si="14">+Y272*R272</f>
        <v>0</v>
      </c>
    </row>
    <row r="273" spans="1:26" x14ac:dyDescent="0.25">
      <c r="A273" s="90" t="s">
        <v>48</v>
      </c>
      <c r="B273" s="91">
        <v>4100202556.7472</v>
      </c>
      <c r="C273" s="90" t="s">
        <v>332</v>
      </c>
      <c r="D273" s="90" t="s">
        <v>301</v>
      </c>
      <c r="E273" s="90" t="s">
        <v>140</v>
      </c>
      <c r="F273" s="90" t="s">
        <v>333</v>
      </c>
      <c r="G273" s="90" t="s">
        <v>326</v>
      </c>
      <c r="H273" s="143" t="s">
        <v>303</v>
      </c>
      <c r="I273" s="143" t="s">
        <v>303</v>
      </c>
      <c r="J273" s="144">
        <f t="shared" si="13"/>
        <v>0</v>
      </c>
      <c r="K273" s="95">
        <v>9106.4441999999999</v>
      </c>
      <c r="L273" s="95">
        <v>2091.8150000000001</v>
      </c>
      <c r="M273" s="95">
        <f t="shared" si="12"/>
        <v>11198.2592</v>
      </c>
      <c r="N273" s="109"/>
      <c r="O273" s="109"/>
      <c r="P273" s="96"/>
      <c r="Q273" s="109"/>
      <c r="R273" s="95">
        <f t="shared" ref="R273:R304" si="15">SUM(S273:X273)</f>
        <v>11198.2592</v>
      </c>
      <c r="S273" s="96"/>
      <c r="T273" s="109"/>
      <c r="U273" s="96"/>
      <c r="V273" s="96"/>
      <c r="W273" s="95">
        <v>11198.2592</v>
      </c>
      <c r="X273" s="96"/>
      <c r="Y273" s="9">
        <f>IFERROR(VLOOKUP(B273,'[1]2122 Veterans Count'!$J:$M,4,FALSE),0)</f>
        <v>0</v>
      </c>
      <c r="Z273" s="97">
        <f t="shared" si="14"/>
        <v>0</v>
      </c>
    </row>
    <row r="274" spans="1:26" x14ac:dyDescent="0.25">
      <c r="A274" s="90" t="s">
        <v>48</v>
      </c>
      <c r="B274" s="91">
        <v>4100221372.7472</v>
      </c>
      <c r="C274" s="90" t="s">
        <v>334</v>
      </c>
      <c r="D274" s="90" t="s">
        <v>301</v>
      </c>
      <c r="E274" s="90" t="s">
        <v>140</v>
      </c>
      <c r="F274" s="90" t="s">
        <v>335</v>
      </c>
      <c r="G274" s="90" t="s">
        <v>320</v>
      </c>
      <c r="H274" s="143" t="s">
        <v>303</v>
      </c>
      <c r="I274" s="143" t="s">
        <v>303</v>
      </c>
      <c r="J274" s="144">
        <f t="shared" si="13"/>
        <v>0</v>
      </c>
      <c r="K274" s="95">
        <v>951709.37</v>
      </c>
      <c r="L274" s="109"/>
      <c r="M274" s="95">
        <f t="shared" si="12"/>
        <v>951709.37</v>
      </c>
      <c r="N274" s="96"/>
      <c r="O274" s="96"/>
      <c r="P274" s="96"/>
      <c r="Q274" s="95">
        <v>0</v>
      </c>
      <c r="R274" s="95">
        <f t="shared" si="15"/>
        <v>951709.37</v>
      </c>
      <c r="S274" s="96"/>
      <c r="T274" s="109"/>
      <c r="U274" s="96"/>
      <c r="V274" s="96"/>
      <c r="W274" s="95">
        <v>951709.37</v>
      </c>
      <c r="X274" s="96"/>
      <c r="Y274" s="9">
        <f>IFERROR(VLOOKUP(B274,'[1]2122 Veterans Count'!$J:$M,4,FALSE),0)</f>
        <v>0</v>
      </c>
      <c r="Z274" s="97">
        <f t="shared" si="14"/>
        <v>0</v>
      </c>
    </row>
    <row r="275" spans="1:26" x14ac:dyDescent="0.25">
      <c r="A275" s="90" t="s">
        <v>48</v>
      </c>
      <c r="B275" s="91">
        <v>4100221538.7472</v>
      </c>
      <c r="C275" s="90" t="s">
        <v>336</v>
      </c>
      <c r="D275" s="90" t="s">
        <v>301</v>
      </c>
      <c r="E275" s="90" t="s">
        <v>140</v>
      </c>
      <c r="F275" s="90" t="s">
        <v>335</v>
      </c>
      <c r="G275" s="90" t="s">
        <v>320</v>
      </c>
      <c r="H275" s="143" t="s">
        <v>303</v>
      </c>
      <c r="I275" s="143" t="s">
        <v>303</v>
      </c>
      <c r="J275" s="144">
        <f t="shared" si="13"/>
        <v>0</v>
      </c>
      <c r="K275" s="95">
        <v>398373.71</v>
      </c>
      <c r="L275" s="100">
        <v>0</v>
      </c>
      <c r="M275" s="95">
        <f t="shared" si="12"/>
        <v>398373.71</v>
      </c>
      <c r="N275" s="96"/>
      <c r="O275" s="96"/>
      <c r="P275" s="96"/>
      <c r="Q275" s="115"/>
      <c r="R275" s="95">
        <f t="shared" si="15"/>
        <v>398373.71</v>
      </c>
      <c r="S275" s="96"/>
      <c r="T275" s="109"/>
      <c r="U275" s="96"/>
      <c r="V275" s="96"/>
      <c r="W275" s="95">
        <v>398373.71</v>
      </c>
      <c r="X275" s="96"/>
      <c r="Y275" s="9">
        <f>IFERROR(VLOOKUP(B275,'[1]2122 Veterans Count'!$J:$M,4,FALSE),0)</f>
        <v>0</v>
      </c>
      <c r="Z275" s="97">
        <f t="shared" si="14"/>
        <v>0</v>
      </c>
    </row>
    <row r="276" spans="1:26" x14ac:dyDescent="0.25">
      <c r="A276" s="90" t="s">
        <v>48</v>
      </c>
      <c r="B276" s="91">
        <v>4100221702.7472</v>
      </c>
      <c r="C276" s="90" t="s">
        <v>337</v>
      </c>
      <c r="D276" s="90" t="s">
        <v>301</v>
      </c>
      <c r="E276" s="90" t="s">
        <v>140</v>
      </c>
      <c r="F276" s="90" t="s">
        <v>335</v>
      </c>
      <c r="G276" s="90" t="s">
        <v>313</v>
      </c>
      <c r="H276" s="143">
        <v>13001</v>
      </c>
      <c r="I276" s="143">
        <v>13001</v>
      </c>
      <c r="J276" s="144">
        <f t="shared" si="13"/>
        <v>1</v>
      </c>
      <c r="K276" s="95">
        <v>79661.73</v>
      </c>
      <c r="L276" s="115"/>
      <c r="M276" s="95">
        <f t="shared" si="12"/>
        <v>79661.73</v>
      </c>
      <c r="N276" s="96"/>
      <c r="O276" s="96"/>
      <c r="P276" s="96"/>
      <c r="Q276" s="100">
        <v>0</v>
      </c>
      <c r="R276" s="95">
        <f t="shared" si="15"/>
        <v>79661.73</v>
      </c>
      <c r="S276" s="96"/>
      <c r="T276" s="109"/>
      <c r="U276" s="96"/>
      <c r="V276" s="96"/>
      <c r="W276" s="95">
        <v>79661.73</v>
      </c>
      <c r="X276" s="96"/>
      <c r="Y276" s="9">
        <f>IFERROR(VLOOKUP(B276,'[1]2122 Veterans Count'!$J:$M,4,FALSE),0)</f>
        <v>0</v>
      </c>
      <c r="Z276" s="97">
        <f t="shared" si="14"/>
        <v>0</v>
      </c>
    </row>
    <row r="277" spans="1:26" x14ac:dyDescent="0.25">
      <c r="A277" s="90" t="s">
        <v>48</v>
      </c>
      <c r="B277" s="91">
        <v>4100204824.7472</v>
      </c>
      <c r="C277" s="90" t="s">
        <v>338</v>
      </c>
      <c r="D277" s="90" t="s">
        <v>301</v>
      </c>
      <c r="E277" s="90" t="s">
        <v>140</v>
      </c>
      <c r="F277" s="90" t="s">
        <v>339</v>
      </c>
      <c r="G277" s="90" t="s">
        <v>326</v>
      </c>
      <c r="H277" s="143" t="s">
        <v>303</v>
      </c>
      <c r="I277" s="143" t="s">
        <v>303</v>
      </c>
      <c r="J277" s="144">
        <f t="shared" si="13"/>
        <v>0</v>
      </c>
      <c r="K277" s="95">
        <v>264706.86800000002</v>
      </c>
      <c r="L277" s="100">
        <v>61321.686999999998</v>
      </c>
      <c r="M277" s="95">
        <f t="shared" si="12"/>
        <v>326028.55499999999</v>
      </c>
      <c r="N277" s="100">
        <v>0</v>
      </c>
      <c r="O277" s="96"/>
      <c r="P277" s="96"/>
      <c r="Q277" s="115"/>
      <c r="R277" s="95">
        <f t="shared" si="15"/>
        <v>326028.55499999999</v>
      </c>
      <c r="S277" s="96"/>
      <c r="T277" s="109"/>
      <c r="U277" s="96"/>
      <c r="V277" s="96"/>
      <c r="W277" s="95">
        <v>326028.55499999999</v>
      </c>
      <c r="X277" s="96"/>
      <c r="Y277" s="9">
        <f>IFERROR(VLOOKUP(B277,'[1]2122 Veterans Count'!$J:$M,4,FALSE),0)</f>
        <v>0</v>
      </c>
      <c r="Z277" s="97">
        <f t="shared" si="14"/>
        <v>0</v>
      </c>
    </row>
    <row r="278" spans="1:26" x14ac:dyDescent="0.25">
      <c r="A278" s="90" t="s">
        <v>48</v>
      </c>
      <c r="B278" s="91">
        <v>4100221242.7472</v>
      </c>
      <c r="C278" s="90" t="s">
        <v>340</v>
      </c>
      <c r="D278" s="90" t="s">
        <v>301</v>
      </c>
      <c r="E278" s="90" t="s">
        <v>140</v>
      </c>
      <c r="F278" s="90" t="s">
        <v>339</v>
      </c>
      <c r="G278" s="90" t="s">
        <v>326</v>
      </c>
      <c r="H278" s="143" t="s">
        <v>303</v>
      </c>
      <c r="I278" s="143" t="s">
        <v>303</v>
      </c>
      <c r="J278" s="144">
        <f t="shared" si="13"/>
        <v>0</v>
      </c>
      <c r="K278" s="95">
        <v>46398.400000000001</v>
      </c>
      <c r="L278" s="109"/>
      <c r="M278" s="95">
        <f t="shared" si="12"/>
        <v>46398.400000000001</v>
      </c>
      <c r="N278" s="109"/>
      <c r="O278" s="109"/>
      <c r="P278" s="96"/>
      <c r="Q278" s="95">
        <v>0</v>
      </c>
      <c r="R278" s="95">
        <f t="shared" si="15"/>
        <v>46398.400000000001</v>
      </c>
      <c r="S278" s="96"/>
      <c r="T278" s="109"/>
      <c r="U278" s="96"/>
      <c r="V278" s="96"/>
      <c r="W278" s="95">
        <v>46398.400000000001</v>
      </c>
      <c r="X278" s="96"/>
      <c r="Y278" s="9">
        <f>IFERROR(VLOOKUP(B278,'[1]2122 Veterans Count'!$J:$M,4,FALSE),0)</f>
        <v>0</v>
      </c>
      <c r="Z278" s="97">
        <f t="shared" si="14"/>
        <v>0</v>
      </c>
    </row>
    <row r="279" spans="1:26" x14ac:dyDescent="0.25">
      <c r="A279" s="90" t="s">
        <v>48</v>
      </c>
      <c r="B279" s="91">
        <v>4100221337.7472</v>
      </c>
      <c r="C279" s="90" t="s">
        <v>341</v>
      </c>
      <c r="D279" s="90" t="s">
        <v>301</v>
      </c>
      <c r="E279" s="90" t="s">
        <v>140</v>
      </c>
      <c r="F279" s="90" t="s">
        <v>339</v>
      </c>
      <c r="G279" s="90" t="s">
        <v>326</v>
      </c>
      <c r="H279" s="143" t="s">
        <v>303</v>
      </c>
      <c r="I279" s="143" t="s">
        <v>303</v>
      </c>
      <c r="J279" s="144">
        <f t="shared" si="13"/>
        <v>0</v>
      </c>
      <c r="K279" s="95">
        <v>307007.92</v>
      </c>
      <c r="L279" s="115"/>
      <c r="M279" s="95">
        <f t="shared" si="12"/>
        <v>307007.92</v>
      </c>
      <c r="N279" s="115"/>
      <c r="O279" s="96"/>
      <c r="P279" s="96"/>
      <c r="Q279" s="100">
        <v>0</v>
      </c>
      <c r="R279" s="95">
        <f t="shared" si="15"/>
        <v>307007.92</v>
      </c>
      <c r="S279" s="96"/>
      <c r="T279" s="109"/>
      <c r="U279" s="96"/>
      <c r="V279" s="96"/>
      <c r="W279" s="95">
        <v>307007.92</v>
      </c>
      <c r="X279" s="96"/>
      <c r="Y279" s="9">
        <f>IFERROR(VLOOKUP(B279,'[1]2122 Veterans Count'!$J:$M,4,FALSE),0)</f>
        <v>0</v>
      </c>
      <c r="Z279" s="97">
        <f t="shared" si="14"/>
        <v>0</v>
      </c>
    </row>
    <row r="280" spans="1:26" x14ac:dyDescent="0.25">
      <c r="A280" s="90" t="s">
        <v>48</v>
      </c>
      <c r="B280" s="91">
        <v>4100221396.7472</v>
      </c>
      <c r="C280" s="90" t="s">
        <v>342</v>
      </c>
      <c r="D280" s="90" t="s">
        <v>301</v>
      </c>
      <c r="E280" s="90" t="s">
        <v>140</v>
      </c>
      <c r="F280" s="90" t="s">
        <v>339</v>
      </c>
      <c r="G280" s="90" t="s">
        <v>326</v>
      </c>
      <c r="H280" s="143" t="s">
        <v>303</v>
      </c>
      <c r="I280" s="143" t="s">
        <v>303</v>
      </c>
      <c r="J280" s="144">
        <f t="shared" si="13"/>
        <v>0</v>
      </c>
      <c r="K280" s="95">
        <v>164919.94</v>
      </c>
      <c r="L280" s="115"/>
      <c r="M280" s="95">
        <f t="shared" si="12"/>
        <v>164919.94</v>
      </c>
      <c r="N280" s="96"/>
      <c r="O280" s="96"/>
      <c r="P280" s="96"/>
      <c r="Q280" s="100">
        <v>0</v>
      </c>
      <c r="R280" s="95">
        <f t="shared" si="15"/>
        <v>164919.94</v>
      </c>
      <c r="S280" s="96"/>
      <c r="T280" s="109"/>
      <c r="U280" s="96"/>
      <c r="V280" s="96"/>
      <c r="W280" s="95">
        <v>164919.94</v>
      </c>
      <c r="X280" s="96"/>
      <c r="Y280" s="9">
        <f>IFERROR(VLOOKUP(B280,'[1]2122 Veterans Count'!$J:$M,4,FALSE),0)</f>
        <v>0</v>
      </c>
      <c r="Z280" s="97">
        <f t="shared" si="14"/>
        <v>0</v>
      </c>
    </row>
    <row r="281" spans="1:26" x14ac:dyDescent="0.25">
      <c r="A281" s="90" t="s">
        <v>48</v>
      </c>
      <c r="B281" s="91">
        <v>4100221539.7472</v>
      </c>
      <c r="C281" s="90" t="s">
        <v>343</v>
      </c>
      <c r="D281" s="90" t="s">
        <v>301</v>
      </c>
      <c r="E281" s="90" t="s">
        <v>140</v>
      </c>
      <c r="F281" s="90" t="s">
        <v>339</v>
      </c>
      <c r="G281" s="90" t="s">
        <v>326</v>
      </c>
      <c r="H281" s="143">
        <v>0</v>
      </c>
      <c r="I281" s="143">
        <v>4195</v>
      </c>
      <c r="J281" s="144">
        <f t="shared" si="13"/>
        <v>0</v>
      </c>
      <c r="K281" s="95">
        <v>845332.9</v>
      </c>
      <c r="L281" s="100">
        <v>0</v>
      </c>
      <c r="M281" s="95">
        <f t="shared" si="12"/>
        <v>845332.9</v>
      </c>
      <c r="N281" s="96"/>
      <c r="O281" s="96"/>
      <c r="P281" s="96"/>
      <c r="Q281" s="115"/>
      <c r="R281" s="95">
        <f t="shared" si="15"/>
        <v>845332.9</v>
      </c>
      <c r="S281" s="96"/>
      <c r="T281" s="109"/>
      <c r="U281" s="96"/>
      <c r="V281" s="96"/>
      <c r="W281" s="95">
        <v>845332.9</v>
      </c>
      <c r="X281" s="96"/>
      <c r="Y281" s="9">
        <f>IFERROR(VLOOKUP(B281,'[1]2122 Veterans Count'!$J:$M,4,FALSE),0)</f>
        <v>0</v>
      </c>
      <c r="Z281" s="97">
        <f t="shared" si="14"/>
        <v>0</v>
      </c>
    </row>
    <row r="282" spans="1:26" x14ac:dyDescent="0.25">
      <c r="A282" s="90" t="s">
        <v>48</v>
      </c>
      <c r="B282" s="91">
        <v>4100221255.7472</v>
      </c>
      <c r="C282" s="90" t="s">
        <v>344</v>
      </c>
      <c r="D282" s="90" t="s">
        <v>301</v>
      </c>
      <c r="E282" s="90" t="s">
        <v>140</v>
      </c>
      <c r="F282" s="90" t="s">
        <v>345</v>
      </c>
      <c r="G282" s="90" t="s">
        <v>326</v>
      </c>
      <c r="H282" s="143" t="s">
        <v>303</v>
      </c>
      <c r="I282" s="143" t="s">
        <v>303</v>
      </c>
      <c r="J282" s="144">
        <f t="shared" si="13"/>
        <v>0</v>
      </c>
      <c r="K282" s="95">
        <v>19417</v>
      </c>
      <c r="L282" s="109"/>
      <c r="M282" s="95">
        <f t="shared" si="12"/>
        <v>19417</v>
      </c>
      <c r="N282" s="109"/>
      <c r="O282" s="109"/>
      <c r="P282" s="96"/>
      <c r="Q282" s="95">
        <v>0</v>
      </c>
      <c r="R282" s="95">
        <f t="shared" si="15"/>
        <v>19417</v>
      </c>
      <c r="S282" s="96"/>
      <c r="T282" s="109"/>
      <c r="U282" s="96"/>
      <c r="V282" s="96"/>
      <c r="W282" s="95">
        <v>19417</v>
      </c>
      <c r="X282" s="96"/>
      <c r="Y282" s="9">
        <f>IFERROR(VLOOKUP(B282,'[1]2122 Veterans Count'!$J:$M,4,FALSE),0)</f>
        <v>0</v>
      </c>
      <c r="Z282" s="97">
        <f t="shared" si="14"/>
        <v>0</v>
      </c>
    </row>
    <row r="283" spans="1:26" x14ac:dyDescent="0.25">
      <c r="A283" s="90" t="s">
        <v>48</v>
      </c>
      <c r="B283" s="91">
        <v>4100221540.7472</v>
      </c>
      <c r="C283" s="90" t="s">
        <v>346</v>
      </c>
      <c r="D283" s="90" t="s">
        <v>301</v>
      </c>
      <c r="E283" s="90" t="s">
        <v>140</v>
      </c>
      <c r="F283" s="90" t="s">
        <v>345</v>
      </c>
      <c r="G283" s="90" t="s">
        <v>326</v>
      </c>
      <c r="H283" s="143" t="s">
        <v>303</v>
      </c>
      <c r="I283" s="143" t="s">
        <v>303</v>
      </c>
      <c r="J283" s="144">
        <f t="shared" si="13"/>
        <v>0</v>
      </c>
      <c r="K283" s="95">
        <v>2800</v>
      </c>
      <c r="L283" s="100">
        <v>814.77080000000001</v>
      </c>
      <c r="M283" s="95">
        <f t="shared" si="12"/>
        <v>3614.7708000000002</v>
      </c>
      <c r="N283" s="96"/>
      <c r="O283" s="96"/>
      <c r="P283" s="96"/>
      <c r="Q283" s="115"/>
      <c r="R283" s="95">
        <f t="shared" si="15"/>
        <v>3614.7707999999998</v>
      </c>
      <c r="S283" s="96"/>
      <c r="T283" s="109"/>
      <c r="U283" s="96"/>
      <c r="V283" s="96"/>
      <c r="W283" s="95">
        <v>3614.7707999999998</v>
      </c>
      <c r="X283" s="96"/>
      <c r="Y283" s="9">
        <f>IFERROR(VLOOKUP(B283,'[1]2122 Veterans Count'!$J:$M,4,FALSE),0)</f>
        <v>0</v>
      </c>
      <c r="Z283" s="97">
        <f t="shared" si="14"/>
        <v>0</v>
      </c>
    </row>
    <row r="284" spans="1:26" x14ac:dyDescent="0.25">
      <c r="A284" s="90" t="s">
        <v>48</v>
      </c>
      <c r="B284" s="91">
        <v>4100221757.7472</v>
      </c>
      <c r="C284" s="90" t="s">
        <v>347</v>
      </c>
      <c r="D284" s="90" t="s">
        <v>301</v>
      </c>
      <c r="E284" s="90" t="s">
        <v>140</v>
      </c>
      <c r="F284" s="90" t="s">
        <v>345</v>
      </c>
      <c r="G284" s="90" t="s">
        <v>326</v>
      </c>
      <c r="H284" s="143">
        <v>83</v>
      </c>
      <c r="I284" s="143">
        <v>156</v>
      </c>
      <c r="J284" s="144">
        <f t="shared" si="13"/>
        <v>0.53205128205128205</v>
      </c>
      <c r="K284" s="95">
        <v>251957.89</v>
      </c>
      <c r="L284" s="115"/>
      <c r="M284" s="95">
        <f t="shared" si="12"/>
        <v>251957.89</v>
      </c>
      <c r="N284" s="96"/>
      <c r="O284" s="96"/>
      <c r="P284" s="96"/>
      <c r="Q284" s="100">
        <v>0</v>
      </c>
      <c r="R284" s="95">
        <f t="shared" si="15"/>
        <v>251957.89</v>
      </c>
      <c r="S284" s="96"/>
      <c r="T284" s="109"/>
      <c r="U284" s="96"/>
      <c r="V284" s="96"/>
      <c r="W284" s="95">
        <v>251957.89</v>
      </c>
      <c r="X284" s="96"/>
      <c r="Y284" s="9">
        <f>IFERROR(VLOOKUP(B284,'[1]2122 Veterans Count'!$J:$M,4,FALSE),0)</f>
        <v>0</v>
      </c>
      <c r="Z284" s="97">
        <f t="shared" si="14"/>
        <v>0</v>
      </c>
    </row>
    <row r="285" spans="1:26" x14ac:dyDescent="0.25">
      <c r="A285" s="90" t="s">
        <v>48</v>
      </c>
      <c r="B285" s="91">
        <v>4100221767.7472</v>
      </c>
      <c r="C285" s="90" t="s">
        <v>348</v>
      </c>
      <c r="D285" s="90" t="s">
        <v>301</v>
      </c>
      <c r="E285" s="90" t="s">
        <v>140</v>
      </c>
      <c r="F285" s="90" t="s">
        <v>345</v>
      </c>
      <c r="G285" s="90" t="s">
        <v>326</v>
      </c>
      <c r="H285" s="143">
        <v>121</v>
      </c>
      <c r="I285" s="143">
        <v>121</v>
      </c>
      <c r="J285" s="144">
        <f t="shared" si="13"/>
        <v>1</v>
      </c>
      <c r="K285" s="95">
        <v>376442.13</v>
      </c>
      <c r="L285" s="96"/>
      <c r="M285" s="95">
        <f t="shared" si="12"/>
        <v>376442.13</v>
      </c>
      <c r="N285" s="109"/>
      <c r="O285" s="96"/>
      <c r="P285" s="96"/>
      <c r="Q285" s="95">
        <v>0</v>
      </c>
      <c r="R285" s="95">
        <f t="shared" si="15"/>
        <v>376442.13</v>
      </c>
      <c r="S285" s="96"/>
      <c r="T285" s="109"/>
      <c r="U285" s="96"/>
      <c r="V285" s="96"/>
      <c r="W285" s="95">
        <v>376442.13</v>
      </c>
      <c r="X285" s="96"/>
      <c r="Y285" s="9">
        <f>IFERROR(VLOOKUP(B285,'[1]2122 Veterans Count'!$J:$M,4,FALSE),0)</f>
        <v>0</v>
      </c>
      <c r="Z285" s="97">
        <f t="shared" si="14"/>
        <v>0</v>
      </c>
    </row>
    <row r="286" spans="1:26" x14ac:dyDescent="0.25">
      <c r="A286" s="90" t="s">
        <v>48</v>
      </c>
      <c r="B286" s="91">
        <v>4100221966.7472</v>
      </c>
      <c r="C286" s="90" t="s">
        <v>349</v>
      </c>
      <c r="D286" s="90" t="s">
        <v>301</v>
      </c>
      <c r="E286" s="90" t="s">
        <v>140</v>
      </c>
      <c r="F286" s="90" t="s">
        <v>345</v>
      </c>
      <c r="G286" s="90" t="s">
        <v>326</v>
      </c>
      <c r="H286" s="143" t="s">
        <v>303</v>
      </c>
      <c r="I286" s="143" t="s">
        <v>303</v>
      </c>
      <c r="J286" s="144">
        <f t="shared" si="13"/>
        <v>0</v>
      </c>
      <c r="K286" s="95">
        <v>112019.50139999999</v>
      </c>
      <c r="L286" s="100">
        <v>56991.020700000001</v>
      </c>
      <c r="M286" s="95">
        <f t="shared" si="12"/>
        <v>169010.5221</v>
      </c>
      <c r="N286" s="96"/>
      <c r="O286" s="96"/>
      <c r="P286" s="96"/>
      <c r="Q286" s="115"/>
      <c r="R286" s="95">
        <f t="shared" si="15"/>
        <v>169010.5221</v>
      </c>
      <c r="S286" s="96"/>
      <c r="T286" s="96"/>
      <c r="U286" s="96"/>
      <c r="V286" s="96"/>
      <c r="W286" s="95">
        <v>169010.5221</v>
      </c>
      <c r="X286" s="96"/>
      <c r="Y286" s="9">
        <f>IFERROR(VLOOKUP(B286,'[1]2122 Veterans Count'!$J:$M,4,FALSE),0)</f>
        <v>0</v>
      </c>
      <c r="Z286" s="97">
        <f t="shared" si="14"/>
        <v>0</v>
      </c>
    </row>
    <row r="287" spans="1:26" x14ac:dyDescent="0.25">
      <c r="A287" s="90" t="s">
        <v>48</v>
      </c>
      <c r="B287" s="91">
        <v>4100221319.7472</v>
      </c>
      <c r="C287" s="90" t="s">
        <v>350</v>
      </c>
      <c r="D287" s="90" t="s">
        <v>301</v>
      </c>
      <c r="E287" s="90" t="s">
        <v>140</v>
      </c>
      <c r="F287" s="90" t="s">
        <v>351</v>
      </c>
      <c r="G287" s="90" t="s">
        <v>320</v>
      </c>
      <c r="H287" s="143" t="s">
        <v>303</v>
      </c>
      <c r="I287" s="143" t="s">
        <v>303</v>
      </c>
      <c r="J287" s="144">
        <f t="shared" si="13"/>
        <v>0</v>
      </c>
      <c r="K287" s="95">
        <v>113440.21</v>
      </c>
      <c r="L287" s="96"/>
      <c r="M287" s="95">
        <f t="shared" si="12"/>
        <v>113440.21</v>
      </c>
      <c r="N287" s="96"/>
      <c r="O287" s="96"/>
      <c r="P287" s="96"/>
      <c r="Q287" s="95">
        <v>0</v>
      </c>
      <c r="R287" s="95">
        <f t="shared" si="15"/>
        <v>113440.21</v>
      </c>
      <c r="S287" s="96"/>
      <c r="T287" s="109"/>
      <c r="U287" s="96"/>
      <c r="V287" s="96"/>
      <c r="W287" s="95">
        <v>113440.21</v>
      </c>
      <c r="X287" s="96"/>
      <c r="Y287" s="9">
        <f>IFERROR(VLOOKUP(B287,'[1]2122 Veterans Count'!$J:$M,4,FALSE),0)</f>
        <v>0</v>
      </c>
      <c r="Z287" s="97">
        <f t="shared" si="14"/>
        <v>0</v>
      </c>
    </row>
    <row r="288" spans="1:26" x14ac:dyDescent="0.25">
      <c r="A288" s="90" t="s">
        <v>48</v>
      </c>
      <c r="B288" s="91">
        <v>4100221329.7472</v>
      </c>
      <c r="C288" s="90" t="s">
        <v>352</v>
      </c>
      <c r="D288" s="90" t="s">
        <v>301</v>
      </c>
      <c r="E288" s="90" t="s">
        <v>140</v>
      </c>
      <c r="F288" s="90" t="s">
        <v>351</v>
      </c>
      <c r="G288" s="90" t="s">
        <v>320</v>
      </c>
      <c r="H288" s="143">
        <v>162</v>
      </c>
      <c r="I288" s="143">
        <v>162</v>
      </c>
      <c r="J288" s="144">
        <f t="shared" si="13"/>
        <v>1</v>
      </c>
      <c r="K288" s="95">
        <v>305036.45</v>
      </c>
      <c r="L288" s="115"/>
      <c r="M288" s="95">
        <f t="shared" si="12"/>
        <v>305036.45</v>
      </c>
      <c r="N288" s="96"/>
      <c r="O288" s="96"/>
      <c r="P288" s="96"/>
      <c r="Q288" s="100">
        <v>0</v>
      </c>
      <c r="R288" s="95">
        <f t="shared" si="15"/>
        <v>305036.45</v>
      </c>
      <c r="S288" s="96"/>
      <c r="T288" s="109"/>
      <c r="U288" s="96"/>
      <c r="V288" s="96"/>
      <c r="W288" s="95">
        <v>305036.45</v>
      </c>
      <c r="X288" s="96"/>
      <c r="Y288" s="9">
        <f>IFERROR(VLOOKUP(B288,'[1]2122 Veterans Count'!$J:$M,4,FALSE),0)</f>
        <v>0</v>
      </c>
      <c r="Z288" s="97">
        <f t="shared" si="14"/>
        <v>0</v>
      </c>
    </row>
    <row r="289" spans="1:26" x14ac:dyDescent="0.25">
      <c r="A289" s="90" t="s">
        <v>48</v>
      </c>
      <c r="B289" s="91">
        <v>4100221254.7472</v>
      </c>
      <c r="C289" s="90" t="s">
        <v>353</v>
      </c>
      <c r="D289" s="90" t="s">
        <v>301</v>
      </c>
      <c r="E289" s="90" t="s">
        <v>140</v>
      </c>
      <c r="F289" s="90" t="s">
        <v>351</v>
      </c>
      <c r="G289" s="90" t="s">
        <v>326</v>
      </c>
      <c r="H289" s="143" t="s">
        <v>303</v>
      </c>
      <c r="I289" s="143" t="s">
        <v>303</v>
      </c>
      <c r="J289" s="144">
        <f t="shared" si="13"/>
        <v>0</v>
      </c>
      <c r="K289" s="95">
        <v>274051.48</v>
      </c>
      <c r="L289" s="109"/>
      <c r="M289" s="95">
        <f t="shared" si="12"/>
        <v>274051.48</v>
      </c>
      <c r="N289" s="109"/>
      <c r="O289" s="109"/>
      <c r="P289" s="96"/>
      <c r="Q289" s="95">
        <v>0</v>
      </c>
      <c r="R289" s="95">
        <f t="shared" si="15"/>
        <v>274051.48</v>
      </c>
      <c r="S289" s="96"/>
      <c r="T289" s="109"/>
      <c r="U289" s="96"/>
      <c r="V289" s="96"/>
      <c r="W289" s="95">
        <v>274051.48</v>
      </c>
      <c r="X289" s="96"/>
      <c r="Y289" s="9">
        <f>IFERROR(VLOOKUP(B289,'[1]2122 Veterans Count'!$J:$M,4,FALSE),0)</f>
        <v>0</v>
      </c>
      <c r="Z289" s="97">
        <f t="shared" si="14"/>
        <v>0</v>
      </c>
    </row>
    <row r="290" spans="1:26" x14ac:dyDescent="0.25">
      <c r="A290" s="90" t="s">
        <v>48</v>
      </c>
      <c r="B290" s="91">
        <v>4100221332.7472</v>
      </c>
      <c r="C290" s="90" t="s">
        <v>354</v>
      </c>
      <c r="D290" s="90" t="s">
        <v>301</v>
      </c>
      <c r="E290" s="90" t="s">
        <v>140</v>
      </c>
      <c r="F290" s="90" t="s">
        <v>351</v>
      </c>
      <c r="G290" s="90" t="s">
        <v>326</v>
      </c>
      <c r="H290" s="143">
        <v>212</v>
      </c>
      <c r="I290" s="143">
        <v>390</v>
      </c>
      <c r="J290" s="144">
        <f t="shared" si="13"/>
        <v>0.54358974358974355</v>
      </c>
      <c r="K290" s="95">
        <v>227731.31</v>
      </c>
      <c r="L290" s="96"/>
      <c r="M290" s="95">
        <f t="shared" si="12"/>
        <v>227731.31</v>
      </c>
      <c r="N290" s="96"/>
      <c r="O290" s="96"/>
      <c r="P290" s="96"/>
      <c r="Q290" s="95">
        <v>0</v>
      </c>
      <c r="R290" s="95">
        <f t="shared" si="15"/>
        <v>227731.31</v>
      </c>
      <c r="S290" s="96"/>
      <c r="T290" s="109"/>
      <c r="U290" s="96"/>
      <c r="V290" s="96"/>
      <c r="W290" s="95">
        <v>227731.31</v>
      </c>
      <c r="X290" s="96"/>
      <c r="Y290" s="9">
        <f>IFERROR(VLOOKUP(B290,'[1]2122 Veterans Count'!$J:$M,4,FALSE),0)</f>
        <v>0</v>
      </c>
      <c r="Z290" s="97">
        <f t="shared" si="14"/>
        <v>0</v>
      </c>
    </row>
    <row r="291" spans="1:26" x14ac:dyDescent="0.25">
      <c r="A291" s="90" t="s">
        <v>48</v>
      </c>
      <c r="B291" s="91">
        <v>4100221355.7472</v>
      </c>
      <c r="C291" s="90" t="s">
        <v>355</v>
      </c>
      <c r="D291" s="90" t="s">
        <v>301</v>
      </c>
      <c r="E291" s="90" t="s">
        <v>140</v>
      </c>
      <c r="F291" s="90" t="s">
        <v>351</v>
      </c>
      <c r="G291" s="90" t="s">
        <v>326</v>
      </c>
      <c r="H291" s="143" t="s">
        <v>303</v>
      </c>
      <c r="I291" s="143" t="s">
        <v>303</v>
      </c>
      <c r="J291" s="144">
        <f t="shared" si="13"/>
        <v>0</v>
      </c>
      <c r="K291" s="95">
        <v>68504.97</v>
      </c>
      <c r="L291" s="96"/>
      <c r="M291" s="95">
        <f t="shared" si="12"/>
        <v>68504.97</v>
      </c>
      <c r="N291" s="96"/>
      <c r="O291" s="96"/>
      <c r="P291" s="96"/>
      <c r="Q291" s="95">
        <v>0</v>
      </c>
      <c r="R291" s="95">
        <f t="shared" si="15"/>
        <v>68504.97</v>
      </c>
      <c r="S291" s="96"/>
      <c r="T291" s="109"/>
      <c r="U291" s="96"/>
      <c r="V291" s="96"/>
      <c r="W291" s="95">
        <v>68504.97</v>
      </c>
      <c r="X291" s="96"/>
      <c r="Y291" s="9">
        <f>IFERROR(VLOOKUP(B291,'[1]2122 Veterans Count'!$J:$M,4,FALSE),0)</f>
        <v>0</v>
      </c>
      <c r="Z291" s="97">
        <f t="shared" si="14"/>
        <v>0</v>
      </c>
    </row>
    <row r="292" spans="1:26" x14ac:dyDescent="0.25">
      <c r="A292" s="90" t="s">
        <v>48</v>
      </c>
      <c r="B292" s="91">
        <v>4100221378.7472</v>
      </c>
      <c r="C292" s="90" t="s">
        <v>356</v>
      </c>
      <c r="D292" s="90" t="s">
        <v>301</v>
      </c>
      <c r="E292" s="90" t="s">
        <v>140</v>
      </c>
      <c r="F292" s="90" t="s">
        <v>351</v>
      </c>
      <c r="G292" s="90" t="s">
        <v>326</v>
      </c>
      <c r="H292" s="143" t="s">
        <v>303</v>
      </c>
      <c r="I292" s="143" t="s">
        <v>303</v>
      </c>
      <c r="J292" s="144">
        <f t="shared" si="13"/>
        <v>0</v>
      </c>
      <c r="K292" s="95">
        <v>410044.94300000003</v>
      </c>
      <c r="L292" s="109"/>
      <c r="M292" s="95">
        <f t="shared" si="12"/>
        <v>410044.94300000003</v>
      </c>
      <c r="N292" s="109"/>
      <c r="O292" s="109"/>
      <c r="P292" s="96"/>
      <c r="Q292" s="95">
        <v>0</v>
      </c>
      <c r="R292" s="95">
        <f t="shared" si="15"/>
        <v>410044.94300000003</v>
      </c>
      <c r="S292" s="96"/>
      <c r="T292" s="109"/>
      <c r="U292" s="96"/>
      <c r="V292" s="96"/>
      <c r="W292" s="95">
        <v>410044.94300000003</v>
      </c>
      <c r="X292" s="96"/>
      <c r="Y292" s="9">
        <f>IFERROR(VLOOKUP(B292,'[1]2122 Veterans Count'!$J:$M,4,FALSE),0)</f>
        <v>0</v>
      </c>
      <c r="Z292" s="97">
        <f t="shared" si="14"/>
        <v>0</v>
      </c>
    </row>
    <row r="293" spans="1:26" x14ac:dyDescent="0.25">
      <c r="A293" s="90" t="s">
        <v>48</v>
      </c>
      <c r="B293" s="91">
        <v>4100221541.7472</v>
      </c>
      <c r="C293" s="90" t="s">
        <v>357</v>
      </c>
      <c r="D293" s="90" t="s">
        <v>301</v>
      </c>
      <c r="E293" s="90" t="s">
        <v>140</v>
      </c>
      <c r="F293" s="90" t="s">
        <v>351</v>
      </c>
      <c r="G293" s="90" t="s">
        <v>326</v>
      </c>
      <c r="H293" s="143">
        <v>131</v>
      </c>
      <c r="I293" s="143">
        <v>131</v>
      </c>
      <c r="J293" s="144">
        <f t="shared" si="13"/>
        <v>1</v>
      </c>
      <c r="K293" s="95">
        <v>21297.1</v>
      </c>
      <c r="L293" s="95">
        <v>10430.3202</v>
      </c>
      <c r="M293" s="95">
        <f t="shared" si="12"/>
        <v>31727.4202</v>
      </c>
      <c r="N293" s="115"/>
      <c r="O293" s="115"/>
      <c r="P293" s="115"/>
      <c r="Q293" s="115"/>
      <c r="R293" s="95">
        <f t="shared" si="15"/>
        <v>31727.4202</v>
      </c>
      <c r="S293" s="96"/>
      <c r="T293" s="109"/>
      <c r="U293" s="115"/>
      <c r="V293" s="96"/>
      <c r="W293" s="100">
        <v>31727.4202</v>
      </c>
      <c r="X293" s="96"/>
      <c r="Y293" s="9">
        <f>IFERROR(VLOOKUP(B293,'[1]2122 Veterans Count'!$J:$M,4,FALSE),0)</f>
        <v>0</v>
      </c>
      <c r="Z293" s="97">
        <f t="shared" si="14"/>
        <v>0</v>
      </c>
    </row>
    <row r="294" spans="1:26" x14ac:dyDescent="0.25">
      <c r="A294" s="90" t="s">
        <v>48</v>
      </c>
      <c r="B294" s="91">
        <v>4100221798.7472</v>
      </c>
      <c r="C294" s="90" t="s">
        <v>358</v>
      </c>
      <c r="D294" s="90" t="s">
        <v>301</v>
      </c>
      <c r="E294" s="90" t="s">
        <v>140</v>
      </c>
      <c r="F294" s="90" t="s">
        <v>351</v>
      </c>
      <c r="G294" s="90" t="s">
        <v>326</v>
      </c>
      <c r="H294" s="143" t="s">
        <v>303</v>
      </c>
      <c r="I294" s="143" t="s">
        <v>303</v>
      </c>
      <c r="J294" s="144">
        <f t="shared" si="13"/>
        <v>0</v>
      </c>
      <c r="K294" s="95">
        <v>277018.21000000002</v>
      </c>
      <c r="L294" s="115"/>
      <c r="M294" s="95">
        <f t="shared" si="12"/>
        <v>277018.21000000002</v>
      </c>
      <c r="N294" s="96"/>
      <c r="O294" s="96"/>
      <c r="P294" s="96"/>
      <c r="Q294" s="95">
        <v>0</v>
      </c>
      <c r="R294" s="95">
        <f t="shared" si="15"/>
        <v>277018.21000000002</v>
      </c>
      <c r="S294" s="96"/>
      <c r="T294" s="109"/>
      <c r="U294" s="115"/>
      <c r="V294" s="96"/>
      <c r="W294" s="100">
        <v>277018.21000000002</v>
      </c>
      <c r="X294" s="96"/>
      <c r="Y294" s="9">
        <f>IFERROR(VLOOKUP(B294,'[1]2122 Veterans Count'!$J:$M,4,FALSE),0)</f>
        <v>0</v>
      </c>
      <c r="Z294" s="97">
        <f t="shared" si="14"/>
        <v>0</v>
      </c>
    </row>
    <row r="295" spans="1:26" x14ac:dyDescent="0.25">
      <c r="A295" s="90" t="s">
        <v>48</v>
      </c>
      <c r="B295" s="91">
        <v>4100203928.7470999</v>
      </c>
      <c r="C295" s="90" t="s">
        <v>359</v>
      </c>
      <c r="D295" s="90" t="s">
        <v>360</v>
      </c>
      <c r="E295" s="90" t="s">
        <v>140</v>
      </c>
      <c r="F295" s="90" t="s">
        <v>361</v>
      </c>
      <c r="G295" s="93"/>
      <c r="H295" s="93"/>
      <c r="I295" s="93"/>
      <c r="J295" s="93"/>
      <c r="K295" s="95">
        <v>221449.1164</v>
      </c>
      <c r="L295" s="95">
        <v>54820.362399999998</v>
      </c>
      <c r="M295" s="95">
        <f t="shared" si="12"/>
        <v>276269.47879999998</v>
      </c>
      <c r="N295" s="95">
        <v>69402.2788</v>
      </c>
      <c r="O295" s="95">
        <v>0</v>
      </c>
      <c r="P295" s="100">
        <v>21979.526000000002</v>
      </c>
      <c r="Q295" s="100">
        <v>0</v>
      </c>
      <c r="R295" s="95">
        <f t="shared" si="15"/>
        <v>184887.674</v>
      </c>
      <c r="S295" s="96"/>
      <c r="T295" s="109"/>
      <c r="U295" s="100">
        <v>184887.674</v>
      </c>
      <c r="V295" s="96"/>
      <c r="W295" s="96"/>
      <c r="X295" s="115"/>
      <c r="Y295" s="9">
        <f>IFERROR(VLOOKUP(B295,'[1]2122 Veterans Count'!$J:$M,4,FALSE),0)</f>
        <v>0</v>
      </c>
      <c r="Z295" s="97">
        <f t="shared" si="14"/>
        <v>0</v>
      </c>
    </row>
    <row r="296" spans="1:26" x14ac:dyDescent="0.25">
      <c r="A296" s="90" t="s">
        <v>48</v>
      </c>
      <c r="B296" s="91">
        <v>4100209957.7470999</v>
      </c>
      <c r="C296" s="90" t="s">
        <v>362</v>
      </c>
      <c r="D296" s="90" t="s">
        <v>360</v>
      </c>
      <c r="E296" s="90" t="s">
        <v>140</v>
      </c>
      <c r="F296" s="90" t="s">
        <v>363</v>
      </c>
      <c r="G296" s="93"/>
      <c r="H296" s="93"/>
      <c r="I296" s="93"/>
      <c r="J296" s="93"/>
      <c r="K296" s="95">
        <v>2921837.7286999999</v>
      </c>
      <c r="L296" s="100">
        <v>159324.7985</v>
      </c>
      <c r="M296" s="95">
        <f t="shared" si="12"/>
        <v>3081162.5271999999</v>
      </c>
      <c r="N296" s="115"/>
      <c r="O296" s="115"/>
      <c r="P296" s="96"/>
      <c r="Q296" s="100">
        <v>11947.704</v>
      </c>
      <c r="R296" s="95">
        <f t="shared" si="15"/>
        <v>3069214.8232</v>
      </c>
      <c r="S296" s="96"/>
      <c r="T296" s="109"/>
      <c r="U296" s="100">
        <v>3069214.8232</v>
      </c>
      <c r="V296" s="96"/>
      <c r="W296" s="96"/>
      <c r="X296" s="115"/>
      <c r="Y296" s="9">
        <f>IFERROR(VLOOKUP(B296,'[1]2122 Veterans Count'!$J:$M,4,FALSE),0)</f>
        <v>0</v>
      </c>
      <c r="Z296" s="97">
        <f t="shared" si="14"/>
        <v>0</v>
      </c>
    </row>
    <row r="297" spans="1:26" x14ac:dyDescent="0.25">
      <c r="A297" s="90" t="s">
        <v>48</v>
      </c>
      <c r="B297" s="91">
        <v>4100419506.7473001</v>
      </c>
      <c r="C297" s="90" t="s">
        <v>364</v>
      </c>
      <c r="D297" s="90" t="s">
        <v>365</v>
      </c>
      <c r="E297" s="90" t="s">
        <v>140</v>
      </c>
      <c r="F297" s="90" t="s">
        <v>366</v>
      </c>
      <c r="G297" s="93"/>
      <c r="H297" s="93"/>
      <c r="I297" s="93"/>
      <c r="J297" s="93"/>
      <c r="K297" s="95">
        <v>1128943.0625</v>
      </c>
      <c r="L297" s="95">
        <v>212642.00210000001</v>
      </c>
      <c r="M297" s="95">
        <f t="shared" si="12"/>
        <v>1341585.0645999999</v>
      </c>
      <c r="N297" s="95">
        <v>458590.93949999998</v>
      </c>
      <c r="O297" s="95">
        <v>0</v>
      </c>
      <c r="P297" s="96"/>
      <c r="Q297" s="115"/>
      <c r="R297" s="95">
        <f t="shared" si="15"/>
        <v>882994.125</v>
      </c>
      <c r="S297" s="96"/>
      <c r="T297" s="115"/>
      <c r="U297" s="96"/>
      <c r="V297" s="96"/>
      <c r="W297" s="115"/>
      <c r="X297" s="100">
        <v>882994.125</v>
      </c>
      <c r="Y297" s="9">
        <f>IFERROR(VLOOKUP(B297,'[1]2122 Veterans Count'!$J:$M,4,FALSE),0)</f>
        <v>0</v>
      </c>
      <c r="Z297" s="97">
        <f t="shared" si="14"/>
        <v>0</v>
      </c>
    </row>
    <row r="298" spans="1:26" x14ac:dyDescent="0.25">
      <c r="A298" s="90" t="s">
        <v>48</v>
      </c>
      <c r="B298" s="91">
        <v>4100419507.7473001</v>
      </c>
      <c r="C298" s="90" t="s">
        <v>367</v>
      </c>
      <c r="D298" s="90" t="s">
        <v>365</v>
      </c>
      <c r="E298" s="90" t="s">
        <v>140</v>
      </c>
      <c r="F298" s="90" t="s">
        <v>368</v>
      </c>
      <c r="G298" s="93"/>
      <c r="H298" s="93"/>
      <c r="I298" s="93"/>
      <c r="J298" s="93"/>
      <c r="K298" s="95">
        <v>93966.69</v>
      </c>
      <c r="L298" s="109"/>
      <c r="M298" s="95">
        <f t="shared" si="12"/>
        <v>93966.69</v>
      </c>
      <c r="N298" s="100">
        <v>31940.182199999999</v>
      </c>
      <c r="O298" s="100">
        <v>0</v>
      </c>
      <c r="P298" s="96"/>
      <c r="Q298" s="96"/>
      <c r="R298" s="95">
        <f t="shared" si="15"/>
        <v>62026.507799999999</v>
      </c>
      <c r="S298" s="96"/>
      <c r="T298" s="96"/>
      <c r="U298" s="96"/>
      <c r="V298" s="96"/>
      <c r="W298" s="96"/>
      <c r="X298" s="95">
        <v>62026.507799999999</v>
      </c>
      <c r="Y298" s="9">
        <f>IFERROR(VLOOKUP(B298,'[1]2122 Veterans Count'!$J:$M,4,FALSE),0)</f>
        <v>0</v>
      </c>
      <c r="Z298" s="97">
        <f t="shared" si="14"/>
        <v>0</v>
      </c>
    </row>
    <row r="299" spans="1:26" x14ac:dyDescent="0.25">
      <c r="A299" s="90" t="s">
        <v>48</v>
      </c>
      <c r="B299" s="91">
        <v>4100419508.7473001</v>
      </c>
      <c r="C299" s="90" t="s">
        <v>369</v>
      </c>
      <c r="D299" s="90" t="s">
        <v>365</v>
      </c>
      <c r="E299" s="90" t="s">
        <v>140</v>
      </c>
      <c r="F299" s="90" t="s">
        <v>370</v>
      </c>
      <c r="G299" s="93"/>
      <c r="H299" s="93"/>
      <c r="I299" s="93"/>
      <c r="J299" s="93"/>
      <c r="K299" s="95">
        <v>36741.879999999997</v>
      </c>
      <c r="L299" s="115"/>
      <c r="M299" s="95">
        <f t="shared" si="12"/>
        <v>36741.879999999997</v>
      </c>
      <c r="N299" s="115"/>
      <c r="O299" s="115"/>
      <c r="P299" s="96"/>
      <c r="Q299" s="115"/>
      <c r="R299" s="95">
        <f t="shared" si="15"/>
        <v>36741.879999999997</v>
      </c>
      <c r="S299" s="96"/>
      <c r="T299" s="115"/>
      <c r="U299" s="96"/>
      <c r="V299" s="96"/>
      <c r="W299" s="96"/>
      <c r="X299" s="95">
        <v>36741.879999999997</v>
      </c>
      <c r="Y299" s="9">
        <f>IFERROR(VLOOKUP(B299,'[1]2122 Veterans Count'!$J:$M,4,FALSE),0)</f>
        <v>0</v>
      </c>
      <c r="Z299" s="97">
        <f t="shared" si="14"/>
        <v>0</v>
      </c>
    </row>
    <row r="300" spans="1:26" x14ac:dyDescent="0.25">
      <c r="A300" s="90" t="s">
        <v>48</v>
      </c>
      <c r="B300" s="91">
        <v>4100209740.7470002</v>
      </c>
      <c r="C300" s="90" t="s">
        <v>371</v>
      </c>
      <c r="D300" s="90" t="s">
        <v>365</v>
      </c>
      <c r="E300" s="90" t="s">
        <v>140</v>
      </c>
      <c r="F300" s="90" t="s">
        <v>372</v>
      </c>
      <c r="G300" s="93"/>
      <c r="H300" s="93"/>
      <c r="I300" s="93"/>
      <c r="J300" s="93"/>
      <c r="K300" s="95">
        <v>637106.3517</v>
      </c>
      <c r="L300" s="95">
        <v>127074.2099</v>
      </c>
      <c r="M300" s="95">
        <f t="shared" si="12"/>
        <v>764180.56160000002</v>
      </c>
      <c r="N300" s="100">
        <v>98130.2978</v>
      </c>
      <c r="O300" s="100">
        <v>0</v>
      </c>
      <c r="P300" s="96"/>
      <c r="Q300" s="95">
        <v>18392.416399999998</v>
      </c>
      <c r="R300" s="95">
        <f t="shared" si="15"/>
        <v>647657.84749999992</v>
      </c>
      <c r="S300" s="96"/>
      <c r="T300" s="100">
        <v>-1E-3</v>
      </c>
      <c r="U300" s="96"/>
      <c r="V300" s="96"/>
      <c r="W300" s="96"/>
      <c r="X300" s="95">
        <v>647657.84849999996</v>
      </c>
      <c r="Y300" s="9">
        <f>IFERROR(VLOOKUP(B300,'[1]2122 Veterans Count'!$J:$M,4,FALSE),0)</f>
        <v>0</v>
      </c>
      <c r="Z300" s="97">
        <f t="shared" si="14"/>
        <v>0</v>
      </c>
    </row>
    <row r="301" spans="1:26" x14ac:dyDescent="0.25">
      <c r="A301" s="110" t="s">
        <v>48</v>
      </c>
      <c r="B301" s="111">
        <v>4100226752.8354998</v>
      </c>
      <c r="C301" s="110" t="s">
        <v>373</v>
      </c>
      <c r="D301" s="110" t="s">
        <v>365</v>
      </c>
      <c r="E301" s="110" t="s">
        <v>140</v>
      </c>
      <c r="F301" s="110" t="s">
        <v>372</v>
      </c>
      <c r="G301" s="112"/>
      <c r="H301" s="112"/>
      <c r="I301" s="112"/>
      <c r="J301" s="112"/>
      <c r="K301" s="113">
        <v>0.2208</v>
      </c>
      <c r="L301" s="113">
        <v>0</v>
      </c>
      <c r="M301" s="113">
        <f t="shared" si="12"/>
        <v>0.2208</v>
      </c>
      <c r="N301" s="114"/>
      <c r="O301" s="114"/>
      <c r="P301" s="114"/>
      <c r="Q301" s="142">
        <v>0.2208</v>
      </c>
      <c r="R301" s="113">
        <f t="shared" si="15"/>
        <v>0</v>
      </c>
      <c r="S301" s="114"/>
      <c r="T301" s="114"/>
      <c r="U301" s="114"/>
      <c r="V301" s="114"/>
      <c r="W301" s="117"/>
      <c r="X301" s="113">
        <v>0</v>
      </c>
      <c r="Y301" s="9">
        <f>IFERROR(VLOOKUP(B301,'[1]2122 Veterans Count'!$J:$M,4,FALSE),0)</f>
        <v>0</v>
      </c>
      <c r="Z301" s="97">
        <f t="shared" si="14"/>
        <v>0</v>
      </c>
    </row>
    <row r="302" spans="1:26" x14ac:dyDescent="0.25">
      <c r="A302" s="90" t="s">
        <v>48</v>
      </c>
      <c r="B302" s="91">
        <v>4100419509.7473001</v>
      </c>
      <c r="C302" s="90" t="s">
        <v>374</v>
      </c>
      <c r="D302" s="90" t="s">
        <v>365</v>
      </c>
      <c r="E302" s="90" t="s">
        <v>140</v>
      </c>
      <c r="F302" s="90" t="s">
        <v>372</v>
      </c>
      <c r="G302" s="93"/>
      <c r="H302" s="93"/>
      <c r="I302" s="93"/>
      <c r="J302" s="93"/>
      <c r="K302" s="95">
        <v>64931.436099999999</v>
      </c>
      <c r="L302" s="95">
        <v>6513.8227999999999</v>
      </c>
      <c r="M302" s="95">
        <f t="shared" si="12"/>
        <v>71445.258900000001</v>
      </c>
      <c r="N302" s="96"/>
      <c r="O302" s="96"/>
      <c r="P302" s="96"/>
      <c r="Q302" s="115"/>
      <c r="R302" s="95">
        <f t="shared" si="15"/>
        <v>71445.258900000001</v>
      </c>
      <c r="S302" s="96"/>
      <c r="T302" s="115"/>
      <c r="U302" s="96"/>
      <c r="V302" s="96"/>
      <c r="W302" s="96"/>
      <c r="X302" s="100">
        <v>71445.258900000001</v>
      </c>
      <c r="Y302" s="9">
        <f>IFERROR(VLOOKUP(B302,'[1]2122 Veterans Count'!$J:$M,4,FALSE),0)</f>
        <v>0</v>
      </c>
      <c r="Z302" s="97">
        <f t="shared" si="14"/>
        <v>0</v>
      </c>
    </row>
    <row r="303" spans="1:26" x14ac:dyDescent="0.25">
      <c r="A303" s="90" t="s">
        <v>48</v>
      </c>
      <c r="B303" s="91">
        <v>4100419510.7473001</v>
      </c>
      <c r="C303" s="90" t="s">
        <v>375</v>
      </c>
      <c r="D303" s="90" t="s">
        <v>365</v>
      </c>
      <c r="E303" s="90" t="s">
        <v>140</v>
      </c>
      <c r="F303" s="90" t="s">
        <v>376</v>
      </c>
      <c r="G303" s="93"/>
      <c r="H303" s="93"/>
      <c r="I303" s="93"/>
      <c r="J303" s="93"/>
      <c r="K303" s="95">
        <v>248265.68</v>
      </c>
      <c r="L303" s="95">
        <v>0</v>
      </c>
      <c r="M303" s="95">
        <f t="shared" si="12"/>
        <v>248265.68</v>
      </c>
      <c r="N303" s="96"/>
      <c r="O303" s="96"/>
      <c r="P303" s="96"/>
      <c r="Q303" s="96"/>
      <c r="R303" s="95">
        <f t="shared" si="15"/>
        <v>248265.68</v>
      </c>
      <c r="S303" s="109"/>
      <c r="T303" s="109"/>
      <c r="U303" s="96"/>
      <c r="V303" s="96"/>
      <c r="W303" s="96"/>
      <c r="X303" s="95">
        <v>248265.68</v>
      </c>
      <c r="Y303" s="9">
        <f>IFERROR(VLOOKUP(B303,'[1]2122 Veterans Count'!$J:$M,4,FALSE),0)</f>
        <v>0</v>
      </c>
      <c r="Z303" s="97">
        <f t="shared" si="14"/>
        <v>0</v>
      </c>
    </row>
    <row r="304" spans="1:26" x14ac:dyDescent="0.25">
      <c r="A304" s="90" t="s">
        <v>48</v>
      </c>
      <c r="B304" s="91">
        <v>4100209845.7470002</v>
      </c>
      <c r="C304" s="90" t="s">
        <v>377</v>
      </c>
      <c r="D304" s="90" t="s">
        <v>378</v>
      </c>
      <c r="E304" s="90" t="s">
        <v>140</v>
      </c>
      <c r="F304" s="90" t="s">
        <v>379</v>
      </c>
      <c r="G304" s="93"/>
      <c r="H304" s="93"/>
      <c r="I304" s="93"/>
      <c r="J304" s="93"/>
      <c r="K304" s="95">
        <v>44219.06</v>
      </c>
      <c r="L304" s="109"/>
      <c r="M304" s="95">
        <f t="shared" si="12"/>
        <v>44219.06</v>
      </c>
      <c r="N304" s="109"/>
      <c r="O304" s="96"/>
      <c r="P304" s="96"/>
      <c r="Q304" s="109"/>
      <c r="R304" s="95">
        <f t="shared" si="15"/>
        <v>44219.06</v>
      </c>
      <c r="S304" s="95">
        <v>44219.06</v>
      </c>
      <c r="T304" s="95">
        <v>0</v>
      </c>
      <c r="U304" s="96"/>
      <c r="V304" s="96"/>
      <c r="W304" s="96"/>
      <c r="X304" s="96"/>
      <c r="Y304" s="9">
        <f>IFERROR(VLOOKUP(B304,'[1]2122 Veterans Count'!$J:$M,4,FALSE),0)</f>
        <v>0</v>
      </c>
      <c r="Z304" s="97">
        <f>+Y304*R304</f>
        <v>0</v>
      </c>
    </row>
    <row r="305" spans="8:9" x14ac:dyDescent="0.25">
      <c r="H305" s="78">
        <f>SUBTOTAL(9,H252:H261)</f>
        <v>54624</v>
      </c>
      <c r="I305" s="78">
        <f>SUBTOTAL(9,I252:I261)</f>
        <v>95960</v>
      </c>
    </row>
    <row r="306" spans="8:9" x14ac:dyDescent="0.25">
      <c r="I306" s="79">
        <f>+H305/I305</f>
        <v>0.56923718215923302</v>
      </c>
    </row>
  </sheetData>
  <autoFilter ref="A14:X306" xr:uid="{00000000-0009-0000-0000-000002000000}"/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FINAL REV ARER Budcomp 01.30.23</vt:lpstr>
    </vt:vector>
  </TitlesOfParts>
  <Company>RUHS-Behavioral Health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Ensminger, Roize</dc:creator>
  <cp:lastModifiedBy>Ensminger, Roize</cp:lastModifiedBy>
  <dcterms:created xsi:type="dcterms:W3CDTF">2023-02-28T18:20:40Z</dcterms:created>
  <dcterms:modified xsi:type="dcterms:W3CDTF">2023-02-28T18:25:09Z</dcterms:modified>
</cp:coreProperties>
</file>